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G:\HydrauCalc\Exemples systèmes complets\Exemples HydrauCalcXL\__Tutoriels\8 &amp; 9 - Flowmaster - Example Marine Cooling System\"/>
    </mc:Choice>
  </mc:AlternateContent>
  <xr:revisionPtr revIDLastSave="0" documentId="13_ncr:1_{E2996193-A1F4-400B-8B79-DD701C50377D}" xr6:coauthVersionLast="46" xr6:coauthVersionMax="47" xr10:uidLastSave="{00000000-0000-0000-0000-000000000000}"/>
  <bookViews>
    <workbookView xWindow="-120" yWindow="-120" windowWidth="29040" windowHeight="15720" activeTab="1" xr2:uid="{32EA802B-5CCC-4C90-BCD2-A51E87F26D01}"/>
  </bookViews>
  <sheets>
    <sheet name="Readme" sheetId="7" r:id="rId1"/>
    <sheet name="System" sheetId="5" r:id="rId2"/>
  </sheets>
  <externalReferences>
    <externalReference r:id="rId3"/>
  </externalReferences>
  <definedNames>
    <definedName name="A_J14">System!$H$71</definedName>
    <definedName name="A_J41">System!$H$72</definedName>
    <definedName name="A_J43">System!$H$73</definedName>
    <definedName name="A_J46">System!$H$74</definedName>
    <definedName name="A_J49">System!$H$75</definedName>
    <definedName name="A_J50">System!$H$76</definedName>
    <definedName name="A_J52">System!$H$77</definedName>
    <definedName name="A_J53">System!$H$78</definedName>
    <definedName name="A_J55">System!$H$79</definedName>
    <definedName name="A_J56">System!$H$80</definedName>
    <definedName name="Cd">System!$E$16</definedName>
    <definedName name="D_HE11">System!$D$84</definedName>
    <definedName name="D_HE12">System!$D$85</definedName>
    <definedName name="D_HE20">System!$D$86</definedName>
    <definedName name="D_HE21">System!$D$87</definedName>
    <definedName name="D_HE31">System!$D$88</definedName>
    <definedName name="D_P10">System!$D$39</definedName>
    <definedName name="D_P13">System!$D$40</definedName>
    <definedName name="D_P15">System!$D$41</definedName>
    <definedName name="D_P16">System!$D$42</definedName>
    <definedName name="D_P17">System!$D$43</definedName>
    <definedName name="D_P18">System!$D$44</definedName>
    <definedName name="D_P19">System!$D$45</definedName>
    <definedName name="D_P22">System!$D$46</definedName>
    <definedName name="D_P25">System!$D$47</definedName>
    <definedName name="D_P26">System!$D$48</definedName>
    <definedName name="D_P27">System!$D$49</definedName>
    <definedName name="D_P28">System!$D$50</definedName>
    <definedName name="D_P29">System!$D$51</definedName>
    <definedName name="D_P30">System!$D$52</definedName>
    <definedName name="D_P32">System!$D$53</definedName>
    <definedName name="D_P33">System!$D$54</definedName>
    <definedName name="D_P34">System!$D$55</definedName>
    <definedName name="D_P35">System!$D$56</definedName>
    <definedName name="D_P42">System!$D$57</definedName>
    <definedName name="D_P48">System!$D$58</definedName>
    <definedName name="D_P51">System!$D$59</definedName>
    <definedName name="D_P7">System!$D$36</definedName>
    <definedName name="D_P8">System!$D$37</definedName>
    <definedName name="D_P9">System!$D$38</definedName>
    <definedName name="Db_J14">System!$F$71</definedName>
    <definedName name="Db_J41">System!$F$72</definedName>
    <definedName name="Db_J43">System!$F$73</definedName>
    <definedName name="Db_J46">System!$F$74</definedName>
    <definedName name="Db_J49">System!$F$75</definedName>
    <definedName name="Db_J50">System!$F$76</definedName>
    <definedName name="Db_J52">System!$F$77</definedName>
    <definedName name="Db_J53">System!$F$78</definedName>
    <definedName name="Db_J55">System!$F$79</definedName>
    <definedName name="Db_J56">System!$F$80</definedName>
    <definedName name="Do_OP44">System!$Q$10</definedName>
    <definedName name="Do_OP45">System!$Q$11</definedName>
    <definedName name="Do_OP47">System!$Q$12</definedName>
    <definedName name="Do_OP5">System!$Q$8</definedName>
    <definedName name="Do_OP6">System!$Q$9</definedName>
    <definedName name="dP_HE11">System!$AB$9</definedName>
    <definedName name="dP_HE12">System!$AB$10</definedName>
    <definedName name="dP_HE20">System!$AB$11</definedName>
    <definedName name="dP_HE21">System!$AB$12</definedName>
    <definedName name="dP_HE31">System!$AB$13</definedName>
    <definedName name="dP_OP44">System!$AB$18</definedName>
    <definedName name="dP_OP45">System!$AB$19</definedName>
    <definedName name="dP_OP47">System!$AB$20</definedName>
    <definedName name="dP_OP5">System!$AB$16</definedName>
    <definedName name="dP_OP6">System!$AB$17</definedName>
    <definedName name="dP_P10">System!$AB$26</definedName>
    <definedName name="dP_P13">System!$AB$27</definedName>
    <definedName name="dP_P15">System!$AB$28</definedName>
    <definedName name="dP_P16">System!$AB$29</definedName>
    <definedName name="dP_P17">System!$AB$30</definedName>
    <definedName name="dP_P18">System!$AB$31</definedName>
    <definedName name="dP_P19">System!$AB$32</definedName>
    <definedName name="dP_P22">System!$AB$33</definedName>
    <definedName name="dP_P25">System!$AB$34</definedName>
    <definedName name="dP_P26">System!$AB$35</definedName>
    <definedName name="dP_P27">System!$AB$36</definedName>
    <definedName name="dP_P28">System!$AB$37</definedName>
    <definedName name="dP_P29">System!$AB$38</definedName>
    <definedName name="dP_P30">System!$AB$39</definedName>
    <definedName name="dP_P32">System!$AB$40</definedName>
    <definedName name="dP_P33">System!$AB$41</definedName>
    <definedName name="dP_P34">System!$AB$42</definedName>
    <definedName name="dP_P35">System!$AB$43</definedName>
    <definedName name="dP_P42">System!$AB$44</definedName>
    <definedName name="dP_P48">System!$AB$45</definedName>
    <definedName name="dP_P51">System!$AB$46</definedName>
    <definedName name="dP_P7">System!$AB$23</definedName>
    <definedName name="dP_P8">System!$AB$24</definedName>
    <definedName name="dP_P9">System!$AB$25</definedName>
    <definedName name="dPb_J41">System!$AB$58</definedName>
    <definedName name="dPb_J46">System!$AB$59</definedName>
    <definedName name="dPb_J50">System!$AB$60</definedName>
    <definedName name="dPb_J52">System!$AB$61</definedName>
    <definedName name="dPb_J53">System!$AB$62</definedName>
    <definedName name="dPb_J55">System!$AB$63</definedName>
    <definedName name="dPb_J56">System!$AB$64</definedName>
    <definedName name="Dpi_OP44">System!$D$65</definedName>
    <definedName name="Dpi_OP45">System!$D$66</definedName>
    <definedName name="Dpi_OP47">System!$D$67</definedName>
    <definedName name="Dpi_OP5">System!$D$63</definedName>
    <definedName name="Dpi_OP6">System!$D$64</definedName>
    <definedName name="dPl_J14">System!$AB$66</definedName>
    <definedName name="dPl_J43">System!$AB$67</definedName>
    <definedName name="dPl_J49">System!$AB$68</definedName>
    <definedName name="dPr_J14">System!$AB$70</definedName>
    <definedName name="dPr_J43">System!$AB$71</definedName>
    <definedName name="dPr_J49">System!$AB$72</definedName>
    <definedName name="dPt_J41">System!$AB$50</definedName>
    <definedName name="dPt_J46">System!$AB$51</definedName>
    <definedName name="dPt_J50">System!$AB$52</definedName>
    <definedName name="dPt_J52">System!$AB$53</definedName>
    <definedName name="dPt_J53">System!$AB$54</definedName>
    <definedName name="dPt_J55">System!$AB$55</definedName>
    <definedName name="dPt_J56">System!$AB$56</definedName>
    <definedName name="Dt_J14">System!$D$71</definedName>
    <definedName name="Dt_J41">System!$D$72</definedName>
    <definedName name="Dt_J43">System!$D$73</definedName>
    <definedName name="Dt_J46">System!$D$74</definedName>
    <definedName name="Dt_J49">System!$D$75</definedName>
    <definedName name="Dt_J50">System!$D$76</definedName>
    <definedName name="Dt_J52">System!$D$77</definedName>
    <definedName name="Dt_J53">System!$D$78</definedName>
    <definedName name="Dt_J55">System!$D$79</definedName>
    <definedName name="Dt_J56">System!$D$80</definedName>
    <definedName name="e_P10">System!$H$39</definedName>
    <definedName name="e_P13">System!$H$40</definedName>
    <definedName name="e_P15">System!$H$41</definedName>
    <definedName name="e_P16">System!$H$42</definedName>
    <definedName name="e_P17">System!$H$43</definedName>
    <definedName name="e_P18">System!$H$44</definedName>
    <definedName name="e_P19">System!$H$45</definedName>
    <definedName name="e_P22">System!$H$46</definedName>
    <definedName name="e_P25">System!$H$47</definedName>
    <definedName name="e_P26">System!$H$48</definedName>
    <definedName name="e_P27">System!$H$49</definedName>
    <definedName name="e_P28">System!$H$50</definedName>
    <definedName name="e_P29">System!$H$51</definedName>
    <definedName name="e_P30">System!$H$52</definedName>
    <definedName name="e_P32">System!$H$53</definedName>
    <definedName name="e_P33">System!$H$54</definedName>
    <definedName name="e_P34">System!$H$55</definedName>
    <definedName name="e_P35">System!$H$56</definedName>
    <definedName name="e_P42">System!$H$57</definedName>
    <definedName name="e_P48">System!$H$58</definedName>
    <definedName name="e_P51">System!$H$59</definedName>
    <definedName name="e_P7">System!$H$36</definedName>
    <definedName name="e_P8">System!$H$37</definedName>
    <definedName name="e_P9">System!$H$38</definedName>
    <definedName name="H_Pp36">System!$AB$75</definedName>
    <definedName name="K_HE11">System!$F$84</definedName>
    <definedName name="K_HE12">System!$F$85</definedName>
    <definedName name="K_HE20">System!$F$86</definedName>
    <definedName name="K_HE21">System!$F$87</definedName>
    <definedName name="K_HE31">System!$F$88</definedName>
    <definedName name="L_P10">System!$F$39</definedName>
    <definedName name="L_P13">System!$F$40</definedName>
    <definedName name="L_P15">System!$F$41</definedName>
    <definedName name="L_P16">System!$F$42</definedName>
    <definedName name="L_P17">System!$F$43</definedName>
    <definedName name="L_P18">System!$F$44</definedName>
    <definedName name="L_P19">System!$F$45</definedName>
    <definedName name="L_P22">System!$F$46</definedName>
    <definedName name="L_P25">System!$F$47</definedName>
    <definedName name="L_P26">System!$F$48</definedName>
    <definedName name="L_P27">System!$F$49</definedName>
    <definedName name="L_P28">System!$F$50</definedName>
    <definedName name="L_P29">System!$F$51</definedName>
    <definedName name="L_P30">System!$F$52</definedName>
    <definedName name="L_P32">System!$F$53</definedName>
    <definedName name="L_P33">System!$F$54</definedName>
    <definedName name="L_P34">System!$F$55</definedName>
    <definedName name="L_P35">System!$F$56</definedName>
    <definedName name="L_P42">System!$F$57</definedName>
    <definedName name="L_P48">System!$F$58</definedName>
    <definedName name="L_P51">System!$F$59</definedName>
    <definedName name="L_P7">System!$F$36</definedName>
    <definedName name="L_P8">System!$F$37</definedName>
    <definedName name="L_P9">System!$F$38</definedName>
    <definedName name="Nu">System!$E$20</definedName>
    <definedName name="OpenSolver_ChosenSolver" localSheetId="1" hidden="1">Cbc</definedName>
    <definedName name="OpenSolver_DualsNewSheet" localSheetId="1" hidden="1">0</definedName>
    <definedName name="OpenSolver_LinearityCheck" localSheetId="1" hidden="1">1</definedName>
    <definedName name="OpenSolver_UpdateSensitivity" localSheetId="1" hidden="1">1</definedName>
    <definedName name="P_n12">System!$Q$59</definedName>
    <definedName name="P_n22">System!$Q$61</definedName>
    <definedName name="P_n23_n58">System!$Q$41</definedName>
    <definedName name="P_n23_n59">System!$Q$42</definedName>
    <definedName name="P_n24">System!$Q$63</definedName>
    <definedName name="P_n27">System!$Q$65</definedName>
    <definedName name="P_n30_n1">System!$Q$45</definedName>
    <definedName name="P_n30_R37">System!$Q$44</definedName>
    <definedName name="P_n31">System!$Q$67</definedName>
    <definedName name="P_n34">System!$Q$69</definedName>
    <definedName name="P_n43_n38">System!$Q$47</definedName>
    <definedName name="P_n43_n39">System!$Q$48</definedName>
    <definedName name="P_n51_n47">System!$Q$50</definedName>
    <definedName name="P_n51_n48">System!$Q$51</definedName>
    <definedName name="P_n53_n29">System!$Q$54</definedName>
    <definedName name="P_n53_n55">System!$Q$53</definedName>
    <definedName name="P_n54_n28">System!$Q$57</definedName>
    <definedName name="P_n54_n50">System!$Q$56</definedName>
    <definedName name="P_Pp36">System!$AB$77</definedName>
    <definedName name="Q_11">System!$E$23</definedName>
    <definedName name="Q_12">System!$E$24</definedName>
    <definedName name="Q_19">System!$Q$32</definedName>
    <definedName name="Q_20">System!$E$25</definedName>
    <definedName name="Q_21">System!$E$26</definedName>
    <definedName name="Q_26">System!$Q$33</definedName>
    <definedName name="Q_27">System!$Q$34</definedName>
    <definedName name="Q_28">System!$Q$13</definedName>
    <definedName name="Q_29">System!$Q$31</definedName>
    <definedName name="Q_31">System!$E$27</definedName>
    <definedName name="Q_33">System!$Q$35</definedName>
    <definedName name="Q_34">System!$Q$36</definedName>
    <definedName name="Q_35">System!$Q$37</definedName>
    <definedName name="Q_36">System!$Q$29</definedName>
    <definedName name="Q_42">System!$Q$30</definedName>
    <definedName name="Q_J10">[1]System!$Y$23</definedName>
    <definedName name="Q_J4">[1]System!$Y$8</definedName>
    <definedName name="Q_J7">[1]System!$Y$9</definedName>
    <definedName name="Rblar">System!$E$31</definedName>
    <definedName name="Rho">System!$E$19</definedName>
    <definedName name="Rllab">System!$E$30</definedName>
    <definedName name="Rsp">System!$E$32</definedName>
    <definedName name="solver_adj" localSheetId="1" hidden="1">System!$Q$8:$Q$13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System!$Q$15</definedName>
    <definedName name="solver_lhs10" localSheetId="1" hidden="1">System!$Q$8</definedName>
    <definedName name="solver_lhs11" localSheetId="1" hidden="1">System!$Q$9</definedName>
    <definedName name="solver_lhs12" localSheetId="1" hidden="1">System!#REF!</definedName>
    <definedName name="solver_lhs13" localSheetId="1" hidden="1">System!$Q$16</definedName>
    <definedName name="solver_lhs14" localSheetId="1" hidden="1">System!$Q$20</definedName>
    <definedName name="solver_lhs15" localSheetId="1" hidden="1">System!#REF!</definedName>
    <definedName name="solver_lhs16" localSheetId="1" hidden="1">System!$Q$16</definedName>
    <definedName name="solver_lhs17" localSheetId="1" hidden="1">System!$Q$20</definedName>
    <definedName name="solver_lhs18" localSheetId="1" hidden="1">System!#REF!</definedName>
    <definedName name="solver_lhs19" localSheetId="1" hidden="1">System!$Q$16</definedName>
    <definedName name="solver_lhs2" localSheetId="1" hidden="1">System!$Q$16</definedName>
    <definedName name="solver_lhs20" localSheetId="1" hidden="1">System!$Q$20</definedName>
    <definedName name="solver_lhs21" localSheetId="1" hidden="1">System!#REF!</definedName>
    <definedName name="solver_lhs3" localSheetId="1" hidden="1">System!$Q$17</definedName>
    <definedName name="solver_lhs4" localSheetId="1" hidden="1">System!$Q$18</definedName>
    <definedName name="solver_lhs5" localSheetId="1" hidden="1">System!$Q$19</definedName>
    <definedName name="solver_lhs6" localSheetId="1" hidden="1">System!$Q$20</definedName>
    <definedName name="solver_lhs7" localSheetId="1" hidden="1">System!$Q$10</definedName>
    <definedName name="solver_lhs8" localSheetId="1" hidden="1">System!$Q$11</definedName>
    <definedName name="solver_lhs9" localSheetId="1" hidden="1">System!$Q$12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11</definedName>
    <definedName name="solver_nwt" localSheetId="1" hidden="1">1</definedName>
    <definedName name="solver_pre" localSheetId="1" hidden="1">0.0001</definedName>
    <definedName name="solver_rbv" localSheetId="1" hidden="1">1</definedName>
    <definedName name="solver_rel1" localSheetId="1" hidden="1">2</definedName>
    <definedName name="solver_rel10" localSheetId="1" hidden="1">1</definedName>
    <definedName name="solver_rel11" localSheetId="1" hidden="1">1</definedName>
    <definedName name="solver_rel12" localSheetId="1" hidden="1">2</definedName>
    <definedName name="solver_rel13" localSheetId="1" hidden="1">2</definedName>
    <definedName name="solver_rel14" localSheetId="1" hidden="1">2</definedName>
    <definedName name="solver_rel15" localSheetId="1" hidden="1">2</definedName>
    <definedName name="solver_rel16" localSheetId="1" hidden="1">2</definedName>
    <definedName name="solver_rel17" localSheetId="1" hidden="1">2</definedName>
    <definedName name="solver_rel18" localSheetId="1" hidden="1">2</definedName>
    <definedName name="solver_rel19" localSheetId="1" hidden="1">2</definedName>
    <definedName name="solver_rel2" localSheetId="1" hidden="1">2</definedName>
    <definedName name="solver_rel20" localSheetId="1" hidden="1">2</definedName>
    <definedName name="solver_rel21" localSheetId="1" hidden="1">2</definedName>
    <definedName name="solver_rel3" localSheetId="1" hidden="1">2</definedName>
    <definedName name="solver_rel4" localSheetId="1" hidden="1">2</definedName>
    <definedName name="solver_rel5" localSheetId="1" hidden="1">2</definedName>
    <definedName name="solver_rel6" localSheetId="1" hidden="1">2</definedName>
    <definedName name="solver_rel7" localSheetId="1" hidden="1">1</definedName>
    <definedName name="solver_rel8" localSheetId="1" hidden="1">1</definedName>
    <definedName name="solver_rel9" localSheetId="1" hidden="1">1</definedName>
    <definedName name="solver_rhs1" localSheetId="1" hidden="1">0</definedName>
    <definedName name="solver_rhs10" localSheetId="1" hidden="1">D_P51</definedName>
    <definedName name="solver_rhs11" localSheetId="1" hidden="1">D_P10</definedName>
    <definedName name="solver_rhs12" localSheetId="1" hidden="1">0</definedName>
    <definedName name="solver_rhs13" localSheetId="1" hidden="1">0</definedName>
    <definedName name="solver_rhs14" localSheetId="1" hidden="1">0</definedName>
    <definedName name="solver_rhs15" localSheetId="1" hidden="1">0</definedName>
    <definedName name="solver_rhs16" localSheetId="1" hidden="1">0</definedName>
    <definedName name="solver_rhs17" localSheetId="1" hidden="1">0</definedName>
    <definedName name="solver_rhs18" localSheetId="1" hidden="1">0</definedName>
    <definedName name="solver_rhs19" localSheetId="1" hidden="1">0</definedName>
    <definedName name="solver_rhs2" localSheetId="1" hidden="1">0</definedName>
    <definedName name="solver_rhs20" localSheetId="1" hidden="1">0</definedName>
    <definedName name="solver_rhs21" localSheetId="1" hidden="1">0</definedName>
    <definedName name="solver_rhs3" localSheetId="1" hidden="1">0</definedName>
    <definedName name="solver_rhs4" localSheetId="1" hidden="1">0</definedName>
    <definedName name="solver_rhs5" localSheetId="1" hidden="1">0</definedName>
    <definedName name="solver_rhs6" localSheetId="1" hidden="1">0</definedName>
    <definedName name="solver_rhs7" localSheetId="1" hidden="1">D_P16</definedName>
    <definedName name="solver_rhs8" localSheetId="1" hidden="1">D_P15</definedName>
    <definedName name="solver_rhs9" localSheetId="1" hidden="1">D_P48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19" i="7" l="1"/>
  <c r="T319" i="7"/>
  <c r="U318" i="7"/>
  <c r="T318" i="7"/>
  <c r="U317" i="7"/>
  <c r="T317" i="7"/>
  <c r="U316" i="7"/>
  <c r="T316" i="7"/>
  <c r="U315" i="7"/>
  <c r="T315" i="7"/>
  <c r="H169" i="7"/>
  <c r="I169" i="7" s="1"/>
  <c r="H165" i="7" l="1"/>
  <c r="H164" i="7"/>
  <c r="H163" i="7"/>
  <c r="I163" i="7" s="1"/>
  <c r="H162" i="7"/>
  <c r="I162" i="7" s="1"/>
  <c r="H161" i="7"/>
  <c r="I161" i="7" s="1"/>
  <c r="I164" i="7" l="1"/>
  <c r="I165" i="7"/>
  <c r="AB58" i="5"/>
  <c r="AB45" i="5"/>
  <c r="AB26" i="5"/>
  <c r="AB62" i="5"/>
  <c r="AB66" i="5"/>
  <c r="AB37" i="5"/>
  <c r="AB33" i="5"/>
  <c r="AB40" i="5"/>
  <c r="AB30" i="5"/>
  <c r="AB71" i="5"/>
  <c r="AB56" i="5"/>
  <c r="AB29" i="5"/>
  <c r="AB25" i="5"/>
  <c r="AB20" i="5"/>
  <c r="AB50" i="5"/>
  <c r="AB54" i="5"/>
  <c r="AB44" i="5"/>
  <c r="AB19" i="5"/>
  <c r="C109" i="5"/>
  <c r="AB23" i="5"/>
  <c r="AB70" i="5"/>
  <c r="AB64" i="5"/>
  <c r="AB28" i="5"/>
  <c r="AB32" i="5"/>
  <c r="AB18" i="5"/>
  <c r="AB59" i="5"/>
  <c r="AB27" i="5"/>
  <c r="AB67" i="5"/>
  <c r="AB51" i="5"/>
  <c r="AB46" i="5"/>
  <c r="AB31" i="5"/>
  <c r="AB24" i="5"/>
  <c r="AB17" i="5"/>
  <c r="AB38" i="5"/>
  <c r="AB39" i="5"/>
  <c r="AB16" i="5"/>
  <c r="AB34" i="5"/>
  <c r="C118" i="5"/>
  <c r="C119" i="5"/>
  <c r="C116" i="5"/>
  <c r="C112" i="5"/>
  <c r="C113" i="5"/>
  <c r="C110" i="5"/>
  <c r="Q44" i="5"/>
  <c r="C117" i="5"/>
  <c r="C111" i="5"/>
  <c r="C115" i="5"/>
  <c r="C114" i="5"/>
  <c r="Q29" i="5" l="1"/>
  <c r="AB75" i="5"/>
  <c r="G80" i="5" l="1"/>
  <c r="E80" i="5"/>
  <c r="C80" i="5"/>
  <c r="G79" i="5"/>
  <c r="E79" i="5"/>
  <c r="C79" i="5"/>
  <c r="G78" i="5"/>
  <c r="E78" i="5"/>
  <c r="C78" i="5"/>
  <c r="G77" i="5"/>
  <c r="E77" i="5"/>
  <c r="C77" i="5"/>
  <c r="G76" i="5"/>
  <c r="E76" i="5"/>
  <c r="C76" i="5"/>
  <c r="G75" i="5"/>
  <c r="E75" i="5"/>
  <c r="C75" i="5"/>
  <c r="G74" i="5"/>
  <c r="E74" i="5"/>
  <c r="C74" i="5"/>
  <c r="G73" i="5"/>
  <c r="E73" i="5"/>
  <c r="C73" i="5"/>
  <c r="G72" i="5"/>
  <c r="E72" i="5"/>
  <c r="C72" i="5"/>
  <c r="G71" i="5"/>
  <c r="E71" i="5"/>
  <c r="C71" i="5"/>
  <c r="AB77" i="5"/>
  <c r="Q67" i="5" l="1"/>
  <c r="Q33" i="5"/>
  <c r="Q34" i="5"/>
  <c r="Q32" i="5"/>
  <c r="Q30" i="5"/>
  <c r="AB36" i="5"/>
  <c r="AB35" i="5"/>
  <c r="Q35" i="5" l="1"/>
  <c r="C63" i="5"/>
  <c r="C64" i="5"/>
  <c r="C65" i="5"/>
  <c r="C66" i="5"/>
  <c r="C67" i="5"/>
  <c r="P8" i="5"/>
  <c r="P9" i="5"/>
  <c r="P10" i="5"/>
  <c r="P11" i="5"/>
  <c r="P12" i="5"/>
  <c r="AB12" i="5"/>
  <c r="AB13" i="5"/>
  <c r="AB41" i="5"/>
  <c r="AB60" i="5"/>
  <c r="AB11" i="5"/>
  <c r="AB52" i="5"/>
  <c r="AB10" i="5"/>
  <c r="AB9" i="5"/>
  <c r="Q36" i="5" l="1"/>
  <c r="E84" i="5"/>
  <c r="E85" i="5"/>
  <c r="E86" i="5"/>
  <c r="E87" i="5"/>
  <c r="E88" i="5"/>
  <c r="C84" i="5"/>
  <c r="C85" i="5"/>
  <c r="C86" i="5"/>
  <c r="C87" i="5"/>
  <c r="C88" i="5"/>
  <c r="G59" i="5"/>
  <c r="E59" i="5"/>
  <c r="C59" i="5"/>
  <c r="G58" i="5"/>
  <c r="E58" i="5"/>
  <c r="C58" i="5"/>
  <c r="G57" i="5"/>
  <c r="E57" i="5"/>
  <c r="C57" i="5"/>
  <c r="G56" i="5"/>
  <c r="E56" i="5"/>
  <c r="C56" i="5"/>
  <c r="G55" i="5"/>
  <c r="E55" i="5"/>
  <c r="C55" i="5"/>
  <c r="G54" i="5"/>
  <c r="E54" i="5"/>
  <c r="C54" i="5"/>
  <c r="G53" i="5"/>
  <c r="E53" i="5"/>
  <c r="C53" i="5"/>
  <c r="G52" i="5"/>
  <c r="E52" i="5"/>
  <c r="C52" i="5"/>
  <c r="G51" i="5"/>
  <c r="E51" i="5"/>
  <c r="C51" i="5"/>
  <c r="G50" i="5"/>
  <c r="E50" i="5"/>
  <c r="C50" i="5"/>
  <c r="G49" i="5"/>
  <c r="E49" i="5"/>
  <c r="C49" i="5"/>
  <c r="G48" i="5"/>
  <c r="E48" i="5"/>
  <c r="C48" i="5"/>
  <c r="G47" i="5"/>
  <c r="E47" i="5"/>
  <c r="C47" i="5"/>
  <c r="G46" i="5"/>
  <c r="E46" i="5"/>
  <c r="C46" i="5"/>
  <c r="G45" i="5"/>
  <c r="E45" i="5"/>
  <c r="C45" i="5"/>
  <c r="G44" i="5"/>
  <c r="E44" i="5"/>
  <c r="C44" i="5"/>
  <c r="G43" i="5"/>
  <c r="E43" i="5"/>
  <c r="C43" i="5"/>
  <c r="G42" i="5"/>
  <c r="E42" i="5"/>
  <c r="C42" i="5"/>
  <c r="G41" i="5"/>
  <c r="E41" i="5"/>
  <c r="C41" i="5"/>
  <c r="G40" i="5"/>
  <c r="E40" i="5"/>
  <c r="C40" i="5"/>
  <c r="G39" i="5"/>
  <c r="E39" i="5"/>
  <c r="C39" i="5"/>
  <c r="G38" i="5"/>
  <c r="E38" i="5"/>
  <c r="C38" i="5"/>
  <c r="G37" i="5"/>
  <c r="E37" i="5"/>
  <c r="C37" i="5"/>
  <c r="G36" i="5"/>
  <c r="E36" i="5"/>
  <c r="C36" i="5"/>
  <c r="AB42" i="5"/>
  <c r="AB53" i="5"/>
  <c r="AB68" i="5"/>
  <c r="AB61" i="5"/>
  <c r="AB72" i="5"/>
  <c r="Q37" i="5" l="1"/>
  <c r="AB63" i="5"/>
  <c r="AB43" i="5"/>
  <c r="AB55" i="5"/>
  <c r="Q31" i="5" l="1"/>
  <c r="Q69" i="5" l="1"/>
  <c r="Q59" i="5" l="1"/>
  <c r="Q63" i="5"/>
  <c r="Q65" i="5" l="1"/>
  <c r="Q50" i="5"/>
  <c r="Q48" i="5"/>
  <c r="Q56" i="5" s="1"/>
  <c r="Q47" i="5"/>
  <c r="Q16" i="5" l="1"/>
  <c r="Q61" i="5"/>
  <c r="Q51" i="5"/>
  <c r="Q18" i="5" s="1"/>
  <c r="Q57" i="5"/>
  <c r="Q54" i="5" s="1"/>
  <c r="Q45" i="5" s="1"/>
  <c r="Q15" i="5" s="1"/>
  <c r="Q41" i="5" l="1"/>
  <c r="Q42" i="5"/>
  <c r="Q53" i="5" s="1"/>
  <c r="Q19" i="5" s="1"/>
  <c r="Q17" i="5"/>
  <c r="Q20" i="5" l="1"/>
</calcChain>
</file>

<file path=xl/sharedStrings.xml><?xml version="1.0" encoding="utf-8"?>
<sst xmlns="http://schemas.openxmlformats.org/spreadsheetml/2006/main" count="605" uniqueCount="408">
  <si>
    <t>m³/s</t>
  </si>
  <si>
    <t>Density</t>
  </si>
  <si>
    <t>kg/m³</t>
  </si>
  <si>
    <t>Kinematic Viscosity</t>
  </si>
  <si>
    <t>m²/s</t>
  </si>
  <si>
    <t>Pa</t>
  </si>
  <si>
    <t>Check data (0/1)</t>
  </si>
  <si>
    <t>Input data</t>
  </si>
  <si>
    <t>HydrauCalc calculation</t>
  </si>
  <si>
    <t>Excel calculation</t>
  </si>
  <si>
    <t>Constraints:</t>
  </si>
  <si>
    <t>Variable name</t>
  </si>
  <si>
    <t>Data verification</t>
  </si>
  <si>
    <t>Cd</t>
  </si>
  <si>
    <t>Pipe data</t>
  </si>
  <si>
    <t>Name</t>
  </si>
  <si>
    <t>Solver data</t>
  </si>
  <si>
    <t>Value to be computed by solver (variable cells):</t>
  </si>
  <si>
    <t>Flowrate</t>
  </si>
  <si>
    <t>Press. loss</t>
  </si>
  <si>
    <t>(m³/s)</t>
  </si>
  <si>
    <t>(Pa)</t>
  </si>
  <si>
    <t>Head</t>
  </si>
  <si>
    <t>(m fluid)</t>
  </si>
  <si>
    <t>P9</t>
  </si>
  <si>
    <t>P8</t>
  </si>
  <si>
    <t>P7</t>
  </si>
  <si>
    <t>P13</t>
  </si>
  <si>
    <t>J14</t>
  </si>
  <si>
    <t>P10</t>
  </si>
  <si>
    <t>P18</t>
  </si>
  <si>
    <t>P19</t>
  </si>
  <si>
    <t>P22</t>
  </si>
  <si>
    <t>P15</t>
  </si>
  <si>
    <t>P16</t>
  </si>
  <si>
    <t>P17</t>
  </si>
  <si>
    <t>Reference: Flomaster - Example: Marine Cooling System</t>
  </si>
  <si>
    <t>Fluid data (Water 20°C)</t>
  </si>
  <si>
    <t>P25</t>
  </si>
  <si>
    <t>P26</t>
  </si>
  <si>
    <t>P27</t>
  </si>
  <si>
    <t>P28</t>
  </si>
  <si>
    <t>P29</t>
  </si>
  <si>
    <t>P30</t>
  </si>
  <si>
    <t>P32</t>
  </si>
  <si>
    <t>P33</t>
  </si>
  <si>
    <t>P34</t>
  </si>
  <si>
    <t>P35</t>
  </si>
  <si>
    <t>P42</t>
  </si>
  <si>
    <t>P48</t>
  </si>
  <si>
    <t>P51</t>
  </si>
  <si>
    <t>Heat-Exchanger data</t>
  </si>
  <si>
    <t>HE11</t>
  </si>
  <si>
    <t>HE12</t>
  </si>
  <si>
    <t>HE20</t>
  </si>
  <si>
    <t>HE21</t>
  </si>
  <si>
    <t>HE31</t>
  </si>
  <si>
    <t>Pressure loss coef. ()</t>
  </si>
  <si>
    <t>Q_11</t>
  </si>
  <si>
    <t>Q_12</t>
  </si>
  <si>
    <t>Q_20</t>
  </si>
  <si>
    <t>Q_21</t>
  </si>
  <si>
    <t>Q_31</t>
  </si>
  <si>
    <t>Heat Exchangers</t>
  </si>
  <si>
    <t>Pump</t>
  </si>
  <si>
    <t>Orifice plate data</t>
  </si>
  <si>
    <t>OP5</t>
  </si>
  <si>
    <t>OP6</t>
  </si>
  <si>
    <t>OP44</t>
  </si>
  <si>
    <t>OP45</t>
  </si>
  <si>
    <t>OP47</t>
  </si>
  <si>
    <t>m</t>
  </si>
  <si>
    <t>Q_28</t>
  </si>
  <si>
    <t>Q_29</t>
  </si>
  <si>
    <t>Q_42</t>
  </si>
  <si>
    <t>Q_33</t>
  </si>
  <si>
    <t>Q_34</t>
  </si>
  <si>
    <t>Q_26</t>
  </si>
  <si>
    <t>Q_19</t>
  </si>
  <si>
    <t>Q_35</t>
  </si>
  <si>
    <t>Q_27</t>
  </si>
  <si>
    <t>Junction data</t>
  </si>
  <si>
    <t>J41</t>
  </si>
  <si>
    <t>J43</t>
  </si>
  <si>
    <t>J46</t>
  </si>
  <si>
    <t>J49</t>
  </si>
  <si>
    <t>J50</t>
  </si>
  <si>
    <t>J52</t>
  </si>
  <si>
    <t>J53</t>
  </si>
  <si>
    <t>J55</t>
  </si>
  <si>
    <t>J56</t>
  </si>
  <si>
    <t>Branch (Pa)</t>
  </si>
  <si>
    <t>Through (Pa)</t>
  </si>
  <si>
    <t>Right (Pa)</t>
  </si>
  <si>
    <t>Left (Pa)</t>
  </si>
  <si>
    <t>Q_36</t>
  </si>
  <si>
    <t>Liquid level above base</t>
  </si>
  <si>
    <t>Base level above ref.</t>
  </si>
  <si>
    <t>Surface pressure</t>
  </si>
  <si>
    <t>Rho</t>
  </si>
  <si>
    <t>Nu</t>
  </si>
  <si>
    <t>Reservoir 37</t>
  </si>
  <si>
    <t>Rllab</t>
  </si>
  <si>
    <t>Rblar</t>
  </si>
  <si>
    <t>Rsp</t>
  </si>
  <si>
    <t>Pressure loss of each component</t>
  </si>
  <si>
    <t>P_n31</t>
  </si>
  <si>
    <t>P_n34</t>
  </si>
  <si>
    <t>Pp36</t>
  </si>
  <si>
    <t>P_n12</t>
  </si>
  <si>
    <t>P_n27</t>
  </si>
  <si>
    <t>P_n24</t>
  </si>
  <si>
    <t>P_n22</t>
  </si>
  <si>
    <t>https://hydraucalc.com</t>
  </si>
  <si>
    <t>Find:  diameter of each orifice plate to meet the required flowrate through the various branches</t>
  </si>
  <si>
    <t>R2022a</t>
  </si>
  <si>
    <t>Legend</t>
  </si>
  <si>
    <t>Unit symbol</t>
  </si>
  <si>
    <t>Content of neighboring cell</t>
  </si>
  <si>
    <r>
      <t>Diameter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</si>
  <si>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Length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</si>
  <si>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Absolute roughness (</t>
    </r>
    <r>
      <rPr>
        <sz val="11"/>
        <color rgb="FF7030A0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</si>
  <si>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Pipe diameter (</t>
    </r>
    <r>
      <rPr>
        <sz val="11"/>
        <color rgb="FFF040D7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</si>
  <si>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Through diameter (</t>
    </r>
    <r>
      <rPr>
        <sz val="11"/>
        <color rgb="FFF040D7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</si>
  <si>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Branch diameter (</t>
    </r>
    <r>
      <rPr>
        <sz val="11"/>
        <color rgb="FFF040D7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>)</t>
    </r>
  </si>
  <si>
    <r>
      <t>Angle(</t>
    </r>
    <r>
      <rPr>
        <sz val="11"/>
        <color rgb="FFF040D7"/>
        <rFont val="Calibri"/>
        <family val="2"/>
        <scheme val="minor"/>
      </rPr>
      <t>°</t>
    </r>
    <r>
      <rPr>
        <sz val="11"/>
        <color theme="1"/>
        <rFont val="Calibri"/>
        <family val="2"/>
        <scheme val="minor"/>
      </rPr>
      <t>)</t>
    </r>
  </si>
  <si>
    <t>dP_HE11</t>
  </si>
  <si>
    <t>dP_HE12</t>
  </si>
  <si>
    <t>dP_HE20</t>
  </si>
  <si>
    <t>dP_HE21</t>
  </si>
  <si>
    <t>dP_HE31</t>
  </si>
  <si>
    <t>dP_OP5</t>
  </si>
  <si>
    <t>dP_OP6</t>
  </si>
  <si>
    <t>dP_OP44</t>
  </si>
  <si>
    <t>dP_OP45</t>
  </si>
  <si>
    <t>dP_OP47</t>
  </si>
  <si>
    <t>dP_P7</t>
  </si>
  <si>
    <t>dP_P8</t>
  </si>
  <si>
    <t>dP_P9</t>
  </si>
  <si>
    <t>dP_P10</t>
  </si>
  <si>
    <t>dP_P13</t>
  </si>
  <si>
    <t>dP_P15</t>
  </si>
  <si>
    <t>dP_P16</t>
  </si>
  <si>
    <t>dP_P17</t>
  </si>
  <si>
    <t>dP_P18</t>
  </si>
  <si>
    <t>dP_P19</t>
  </si>
  <si>
    <t>dP_P22</t>
  </si>
  <si>
    <t>dP_P25</t>
  </si>
  <si>
    <t>dP_P26</t>
  </si>
  <si>
    <t>dP_P27</t>
  </si>
  <si>
    <t>dP_P28</t>
  </si>
  <si>
    <t>dP_P29</t>
  </si>
  <si>
    <t>dP_P30</t>
  </si>
  <si>
    <t>dP_P32</t>
  </si>
  <si>
    <t>dP_P33</t>
  </si>
  <si>
    <t>dP_P34</t>
  </si>
  <si>
    <t>dP_P35</t>
  </si>
  <si>
    <t>dP_P42</t>
  </si>
  <si>
    <t>dP_P48</t>
  </si>
  <si>
    <t>dP_P51</t>
  </si>
  <si>
    <t>dPt_J41</t>
  </si>
  <si>
    <t>dPt_J46</t>
  </si>
  <si>
    <t>dPt_J50</t>
  </si>
  <si>
    <t>dPt_J52</t>
  </si>
  <si>
    <t>dPt_J53</t>
  </si>
  <si>
    <t>dPt_J55</t>
  </si>
  <si>
    <t>dPt_J56</t>
  </si>
  <si>
    <t>dPb_J41</t>
  </si>
  <si>
    <t>dPb_J46</t>
  </si>
  <si>
    <t>dPb_J50</t>
  </si>
  <si>
    <t>dPb_J52</t>
  </si>
  <si>
    <t>dPb_J53</t>
  </si>
  <si>
    <t>dPb_J55</t>
  </si>
  <si>
    <t>dPb_J56</t>
  </si>
  <si>
    <t>dPl_J14</t>
  </si>
  <si>
    <t>dPl_J43</t>
  </si>
  <si>
    <t>dPl_J49</t>
  </si>
  <si>
    <t>dPr_J14</t>
  </si>
  <si>
    <t>dPr_J43</t>
  </si>
  <si>
    <t>dPr_J49</t>
  </si>
  <si>
    <t>H_Pp36</t>
  </si>
  <si>
    <t>P_Pp36</t>
  </si>
  <si>
    <t>Deducted flowrate:</t>
  </si>
  <si>
    <t>=  Q_11 + Q_20 + Q_21 + Q_31</t>
  </si>
  <si>
    <t>=  Q_21 + Q_20</t>
  </si>
  <si>
    <t>=  Q_36 - Q_42</t>
  </si>
  <si>
    <t>=  Q_12 + Q_28</t>
  </si>
  <si>
    <t>=  Q_26 - Q_11</t>
  </si>
  <si>
    <t>=  Q_31 - Q_33</t>
  </si>
  <si>
    <t>=  Q_19 + Q_34</t>
  </si>
  <si>
    <t>Imposed volume flowrate (Heat-Exchangers)</t>
  </si>
  <si>
    <t>Pressure at nodes:</t>
  </si>
  <si>
    <t>n30</t>
  </si>
  <si>
    <t>P_n30_R37</t>
  </si>
  <si>
    <t>P_n30_n1</t>
  </si>
  <si>
    <t>n43</t>
  </si>
  <si>
    <t>n54</t>
  </si>
  <si>
    <t>n51</t>
  </si>
  <si>
    <t>n23</t>
  </si>
  <si>
    <t>n53</t>
  </si>
  <si>
    <t>n12</t>
  </si>
  <si>
    <t>n22</t>
  </si>
  <si>
    <t>n24</t>
  </si>
  <si>
    <t>n27</t>
  </si>
  <si>
    <t>n31</t>
  </si>
  <si>
    <t>n34</t>
  </si>
  <si>
    <t>= P_n22 - dPb_J53 - dP_P28 - dPb_J56</t>
  </si>
  <si>
    <t>= P_n22 - dPt_J53 - dP_P10 - dP_HE12 - dP_OP6 - dP_P22 - dPt_J56</t>
  </si>
  <si>
    <t>=  Rsp  +  StaticPressure_H_Rho_g(Rllab  +  Rblar;Rho)</t>
  </si>
  <si>
    <t>= P_n53_29 - dP_P9 - dP_P8</t>
  </si>
  <si>
    <t>= P_n12 - dPl_J14 - dP_P16 - dP_HE20 - dP_OP44 - dP_P18 - dPl_J43</t>
  </si>
  <si>
    <t>= P_n12 - dPr_J14 - dP_P15 - dP_HE21 - dP_OP45 - dP_P17 - dPr_J43</t>
  </si>
  <si>
    <t>= P_n24 - dPt_J46 - dP_P13 - dP_HE11 - dP_P51 - dP_OP5 - dP_P25 - dPt_J50</t>
  </si>
  <si>
    <t>= P_n27 - dPr_J49 - dP_P33 - dPb_J50</t>
  </si>
  <si>
    <t>= P_n23_59 - dP_P27 - dPb_J55</t>
  </si>
  <si>
    <t>= P_n54_28 - dP_P35 - dPt_J55</t>
  </si>
  <si>
    <t>= P_n43_39 - dP_P19 - dPb_J52</t>
  </si>
  <si>
    <t>= P_n27 - dPl_J49 - dP_P34 - dPt_J52</t>
  </si>
  <si>
    <t>= P_n34 - dPb_J41 - dP_P42</t>
  </si>
  <si>
    <t>= P_n51_47 - dP_P26</t>
  </si>
  <si>
    <t>= P_n34 - dPt_J41 - dP_P29</t>
  </si>
  <si>
    <t>= P_n24 - dPb_J46 - dP_P30 - dP_HE31 - dP_P48 - dP_OP47 - dP_P32</t>
  </si>
  <si>
    <t>= P_n30_37 + P_Pp36</t>
  </si>
  <si>
    <t>= P_n31 - dP_P7</t>
  </si>
  <si>
    <t>P_n30_R37 - P_n30_n1 = 0</t>
  </si>
  <si>
    <t>P_n43_n38 - P_n43_n39 = 0</t>
  </si>
  <si>
    <t>P_n54_n50 - P_n54_n28 = 0</t>
  </si>
  <si>
    <t>P_n51_n47 - P_n51_n48 = 0</t>
  </si>
  <si>
    <t>P_n53_n29 - P_n53_n55 = 0</t>
  </si>
  <si>
    <t>P_n23_n58 - P_n23_n59 = 0</t>
  </si>
  <si>
    <t>P_n23_n58</t>
  </si>
  <si>
    <t>P_n23_n59</t>
  </si>
  <si>
    <t>P_n43_n38</t>
  </si>
  <si>
    <t>P_n43_n39</t>
  </si>
  <si>
    <t>P_n51_n47</t>
  </si>
  <si>
    <t>P_n51_n48</t>
  </si>
  <si>
    <t>P_n53_n55</t>
  </si>
  <si>
    <t>P_n53_n29</t>
  </si>
  <si>
    <t>P_n54_n50</t>
  </si>
  <si>
    <t>P_n54_n28</t>
  </si>
  <si>
    <t>= P_n30_R37 - P_n30_n1</t>
  </si>
  <si>
    <t>= P_n43_n38 - P_n43_n39</t>
  </si>
  <si>
    <t>= P_n54_n50 - P_n54_n28</t>
  </si>
  <si>
    <t>= P_n51_n47 - P_n51_n48</t>
  </si>
  <si>
    <t>= P_n53_n29 - P_n53_n55</t>
  </si>
  <si>
    <t>= P_n23_n58 - P_n23_n59</t>
  </si>
  <si>
    <t>Heat Exchanger pressure loss:</t>
  </si>
  <si>
    <t>Orifice plate pressure loss:</t>
  </si>
  <si>
    <t>Pipe pressure loss:</t>
  </si>
  <si>
    <t>Junction pressure loss (Pa):</t>
  </si>
  <si>
    <t>Pump Head:</t>
  </si>
  <si>
    <t>Pump Pressure:</t>
  </si>
  <si>
    <t>=PressureLoss_k_Qv_D_Rho(K_HE11;Q_11;D_HE11;Rho)</t>
  </si>
  <si>
    <t>=PressureLoss_k_Qv_D_Rho(K_HE12;Q_12;D_HE12;Rho)</t>
  </si>
  <si>
    <t>=PressureLoss_k_Qv_D_Rho(K_HE20;Q_20;D_HE20;Rho)</t>
  </si>
  <si>
    <t>=PressureLoss_k_Qv_D_Rho(K_HE21;Q_21;D_HE21;Rho)</t>
  </si>
  <si>
    <t>=PressureLoss_k_Qv_D_Rho(K_HE31;Q_31;D_HE31;Rho)</t>
  </si>
  <si>
    <t>=SplineInterpolation(Q_36;D92:D102;E92:E102;Cd)</t>
  </si>
  <si>
    <t>=StaticPressure_H_Rho_g(H_Pp36;Rho)</t>
  </si>
  <si>
    <t>Find:  the diameter of each orifice plate to meet the required flowrate through the various branches</t>
  </si>
  <si>
    <t>The use of the HydrauCalcXL library imposes positive flowrates in all the branches of the studied system,</t>
  </si>
  <si>
    <t>which requires knowing the direction of fluid flow in each branch.</t>
  </si>
  <si>
    <t>Description of the system:</t>
  </si>
  <si>
    <t>Resolution of problem:</t>
  </si>
  <si>
    <t>The system is made up of:</t>
  </si>
  <si>
    <t>24 Pipes P7, P8, P9, P10, P13, P15, P16, P17, P18, P19, P22, P25, P26, P27, P28, P29, P30, P32, P33, P34, P35, P42, P48, P51</t>
  </si>
  <si>
    <t>5 Restriction orifices plate OP5, OP6, OP44, OP45, OP47</t>
  </si>
  <si>
    <t>5 Heat Exchangers HE11, HE12, HE20, HE21, HE31</t>
  </si>
  <si>
    <t>1 Pump Pp36</t>
  </si>
  <si>
    <t>3 Dividing Sharp-Edged Junctions J41, J46, J53</t>
  </si>
  <si>
    <t>4 Combining Sharp-Edged Junctions J50, J52, J55, J56</t>
  </si>
  <si>
    <t>1 Symetric Combining Sharp-Edged T-Junction  J43</t>
  </si>
  <si>
    <t>2 Symetric Dividing Sharp-Edged T-Junctions J14, J49</t>
  </si>
  <si>
    <t>10 Junctions J14, J41, J43, J46, J49, J50, J52, J53, J55, J56</t>
  </si>
  <si>
    <t>1 Reservoir R37</t>
  </si>
  <si>
    <t>The assumptions are:</t>
  </si>
  <si>
    <t>The characteristics of the fluid are known.</t>
  </si>
  <si>
    <t>The geometry of the components is known.</t>
  </si>
  <si>
    <t>All the components are located in the same plane.</t>
  </si>
  <si>
    <t>For this, we use Excel's equations solver (which requires the solver to be installed into Excel).</t>
  </si>
  <si>
    <t>At each iteration, the pressure drop of all the components of the system is calculated using the functions integrated in HydrauCalcXL.</t>
  </si>
  <si>
    <t>and the flowrate in each heat exchanger is compared to the requested flowrate.</t>
  </si>
  <si>
    <t>When the solver does not find a solution to the problem, it is sometimes necessary to modify the initial guesses.</t>
  </si>
  <si>
    <t>This example also shows the method to take into account the pressure drop of the T-junctions.</t>
  </si>
  <si>
    <t>The heat exchangers flowrate is an input data.</t>
  </si>
  <si>
    <t>The pressure in the loop is imposed upstream of the pump by the reservoir.</t>
  </si>
  <si>
    <t>In this calculation case, the determination of the diameter of the five restriction orifices requires a certain number of iterations.</t>
  </si>
  <si>
    <t>The use of the solver for the orifice diameters requires giving an estimate of the value of the diameters.</t>
  </si>
  <si>
    <t>Description of the contents of the worksheet:</t>
  </si>
  <si>
    <t>• The input data is represented by the formatted cells as follows:</t>
  </si>
  <si>
    <t>Characteristics of the fluid:</t>
  </si>
  <si>
    <t>Fluid flowrate imposed in each heat exchanger and the reservoir:</t>
  </si>
  <si>
    <t>Characteristics of the reservoir:</t>
  </si>
  <si>
    <t>Characteristics of pipes:</t>
  </si>
  <si>
    <t>Characteristics of orifices plate:</t>
  </si>
  <si>
    <t>Characteristics of junctions:</t>
  </si>
  <si>
    <t>Characteristics of heat-exchangers:</t>
  </si>
  <si>
    <t>Pumps head:</t>
  </si>
  <si>
    <t>• The calculations performed using the functions of the HydrauCalcXL add-in are represented by the cells formatted as follows:</t>
  </si>
  <si>
    <t>The functions used are recalled in gray text.</t>
  </si>
  <si>
    <t>Pressure loss in the components:</t>
  </si>
  <si>
    <t>Pump static head:</t>
  </si>
  <si>
    <t>• The calculations performed using functions built into Excel are represented by cells formatted as follows:</t>
  </si>
  <si>
    <t>Nodes static pressure:</t>
  </si>
  <si>
    <t>Deducted volume flowrate:</t>
  </si>
  <si>
    <t>• Solver data for finding a solution:</t>
  </si>
  <si>
    <t>The necessary data for the solver are:</t>
  </si>
  <si>
    <t>The following window is displayed if the solver find a solution.</t>
  </si>
  <si>
    <t>The result obtained is presented in the following figure:</t>
  </si>
  <si>
    <t>Sometimes the solver does not find a solution when it is restarted while keeping the variable cells resulting from the previous calculation.</t>
  </si>
  <si>
    <t>Do_OP5 ≤ D_P51</t>
  </si>
  <si>
    <t>Do_OP6 ≤ D_P10</t>
  </si>
  <si>
    <t>Do_OP44 ≤ D_P16</t>
  </si>
  <si>
    <t>Do_OP45 ≤ D_P15</t>
  </si>
  <si>
    <t>Do_OP47 ≤ D_P48</t>
  </si>
  <si>
    <t>=OrificeSharpEdgedCircularCrossSection_dP(Dpi_OP5;Do_OP5;Q_11;Rho;Nu;2;Cd;Z16)</t>
  </si>
  <si>
    <t>=OrificeSharpEdgedCircularCrossSection_dP(Dpi_OP6;Do_OP6;Q_12;Rho;Nu;2;Cd;Z17)</t>
  </si>
  <si>
    <t>=OrificeSharpEdgedCircularCrossSection_dP(Dpi_OP44;Do_OP44;Q_20;Rho;Nu;2;Cd;Z18)</t>
  </si>
  <si>
    <t>=OrificeSharpEdgedCircularCrossSection_dP(Dpi_OP45;Do_OP45;Q_21;Rho;Nu;2;Cd;Z19)</t>
  </si>
  <si>
    <t>=OrificeSharpEdgedCircularCrossSection_dP(Dpi_OP47;Do_OP47;Q_31;Rho;Nu;2;Cd;Z20)</t>
  </si>
  <si>
    <t>=PipeStraightCircularCrossSection_dP(D_P7;L_P7;Q_36;Rho;Nu;5;e_P7;;;Cd;Z23;Z23)</t>
  </si>
  <si>
    <t>=PipeStraightCircularCrossSection_dP(D_P8;L_P8;Q_36;Rho;Nu;5;e_P8;;;Cd;Z24;Z24)</t>
  </si>
  <si>
    <t>=PipeStraightCircularCrossSection_dP(D_P9;L_P9;Q_36;Rho;Nu;5;e_P9;;;Cd;Z25;Z25)</t>
  </si>
  <si>
    <t>=PipeStraightCircularCrossSection_dP(D_P10;L_P10;Q_12;Rho;Nu;5;e_P10;;;Cd;Z26;Z26)</t>
  </si>
  <si>
    <t>=PipeStraightCircularCrossSection_dP(D_P13;L_P13;Q_11;Rho;Nu;5;e_P13;;;Cd;Z27;Z27)</t>
  </si>
  <si>
    <t>=PipeStraightCircularCrossSection_dP(D_P15;L_P15;Q_21;Rho;Nu;5;e_P15;;;Cd;Z28;Z28)</t>
  </si>
  <si>
    <t>=PipeStraightCircularCrossSection_dP(D_P16;L_P16;Q_20;Rho;Nu;5;e_P16;;;Cd;Z29;Z29)</t>
  </si>
  <si>
    <t>=PipeStraightCircularCrossSection_dP(D_P17;L_P17;Q_21;Rho;Nu;5;e_P17;;;Cd;Z30;Z30)</t>
  </si>
  <si>
    <t>=PipeStraightCircularCrossSection_dP(D_P18;L_P18;Q_20;Rho;Nu;5;e_P18;;;Cd;Z31;Z31)</t>
  </si>
  <si>
    <t>=PipeStraightCircularCrossSection_dP(D_P19;L_P19;Q_19;Rho;Nu;5;e_P19;;;Cd;Z32;Z32)</t>
  </si>
  <si>
    <t>=PipeStraightCircularCrossSection_dP(D_P22;L_P22;Q_12;Rho;Nu;5;e_P22;;;Cd;Z33;Z33)</t>
  </si>
  <si>
    <t>=PipeStraightCircularCrossSection_dP(D_P25;L_P25;Q_11;Rho;Nu;5;e_P25;;;Cd;Z34;Z34)</t>
  </si>
  <si>
    <t>=PipeStraightCircularCrossSection_dP(D_P26;L_P26;Q_26;Rho;Nu;5;e_P26;;;Cd;Z35;Z35)</t>
  </si>
  <si>
    <t>=PipeStraightCircularCrossSection_dP(D_P27;L_P27;Q_27;Rho;Nu;5;e_P27;;;Cd;Z36;Z36)</t>
  </si>
  <si>
    <t>=PipeStraightCircularCrossSection_dP(D_P28;L_P28;Q_28;Rho;Nu;5;e_P28;;;Cd;Z37;Z37)</t>
  </si>
  <si>
    <t>=PipeStraightCircularCrossSection_dP(D_P29;L_P29;Q_29;Rho;Nu;5;e_P29;;;Cd;Z38;Z38)</t>
  </si>
  <si>
    <t>=PipeStraightCircularCrossSection_dP(D_P30;L_P30;Q_31;Rho;Nu;5;e_P30;;;Cd;Z39;Z39)</t>
  </si>
  <si>
    <t>=PipeStraightCircularCrossSection_dP(D_P32;L_P32;Q_31;Rho;Nu;5;e_P32;;;Cd;Z40;Z40)</t>
  </si>
  <si>
    <t>=PipeStraightCircularCrossSection_dP(D_P33;L_P33;Q_33;Rho;Nu;5;e_P33;;;Cd;Z41;Z41)</t>
  </si>
  <si>
    <t>=PipeStraightCircularCrossSection_dP(D_P34;L_P34;Q_34;Rho;Nu;5;e_P34;;;Cd;Z42;Z42)</t>
  </si>
  <si>
    <t>=PipeStraightCircularCrossSection_dP(D_P35;L_P35;Q_35;Rho;Nu;5;e_P35;;;Cd;Z43;Z43)</t>
  </si>
  <si>
    <t>=PipeStraightCircularCrossSection_dP(D_P42;L_P42;Q_42;Rho;Nu;5;e_P42;;;Cd;Z44;Z44)</t>
  </si>
  <si>
    <t>=PipeStraightCircularCrossSection_dP(D_P48;L_P48;Q_31;Rho;Nu;5;e_P48;;;Cd;Z45;Z45)</t>
  </si>
  <si>
    <t>=PipeStraightCircularCrossSection_dP(D_P51;L_P51;Q_11;Rho;Nu;5;e_P51;;;Cd;Z46;Z46)</t>
  </si>
  <si>
    <t>=DividingSharpEdgedJunctionCircularCrossSection_StraightBranch_dP(Db_J41;Dt_J41;Q_42;Q_29;A_J41;Rho;Nu;2;Cd;Z50;Z50)</t>
  </si>
  <si>
    <t>=DividingSharpEdgedJunctionCircularCrossSection_StraightBranch_dP(Db_J46;Dt_J46;Q_31;Q_11;A_J46;Rho;Nu;2;Cd;Z51;Z51)</t>
  </si>
  <si>
    <t>=CombiningSharpEdgedJunctionCircularCrossSection_StraightBranch_dP(Db_J50;Dt_J50;Q_33;Q_11;A_J50;Rho;Nu;2;Cd;Z52;Z52)</t>
  </si>
  <si>
    <t>=CombiningSharpEdgedJunctionCircularCrossSection_StraightBranch_dP(Db_J52;Dt_J52;Q_19;Q_34;A_J52;Rho;Nu;2;Cd;Z53;Z53)</t>
  </si>
  <si>
    <t>=DividingSharpEdgedJunctionCircularCrossSection_StraightBranch_dP(Db_J53;Dt_J53;Q_28;Q_12;A_J53;Rho;Nu;2;Cd;Z54;Z54)</t>
  </si>
  <si>
    <t>=CombiningSharpEdgedJunctionCircularCrossSection_StraightBranch_dP(Db_J55;Dt_J55;Q_27;Q_35;A_J55;Rho;Nu;2;Cd;Z55;Z55)</t>
  </si>
  <si>
    <t>=CombiningSharpEdgedJunctionCircularCrossSection_StraightBranch_dP(Db_J56;Dt_J56;Q_28;Q_12;A_J56;Rho;Nu;2;Cd;Z56;Z56)</t>
  </si>
  <si>
    <t>=DividingSharpEdgedJunctionCircularCrossSection_SideBranch_dP(Db_J41;Dt_J41;Q_42;Q_29;A_J41;Rho;Nu;2;Cd;Z58;Z58)</t>
  </si>
  <si>
    <t>=DividingSharpEdgedJunctionCircularCrossSection_SideBranch_dP(Db_J46;Dt_J46;Q_31;Q_11;A_J46;Rho;Nu;2;Cd;Z59;Z59)</t>
  </si>
  <si>
    <t>=CombiningSharpEdgedJunctionCircularCrossSection_SideBranch_dP(Db_J50;Dt_J50;Q_33;Q_11;A_J50;Rho;Nu;2;Cd;Z60;Z60)</t>
  </si>
  <si>
    <t>=CombiningSharpEdgedJunctionCircularCrossSection_SideBranch_dP(Db_J52;Dt_J52;Q_19;Q_34;A_J52;Rho;Nu;2;Cd;Z61;Z61)</t>
  </si>
  <si>
    <t>=DividingSharpEdgedJunctionCircularCrossSection_SideBranch_dP(Db_J53;Dt_J53;Q_28;Q_12;A_J53;Rho;Nu;2;Cd;Z62;Z62)</t>
  </si>
  <si>
    <t>=CombiningSharpEdgedJunctionCircularCrossSection_SideBranch_dP(Db_J55;Dt_J55;Q_27;Q_35;A_J55;Rho;Nu;2;Cd;Z63;Z63)</t>
  </si>
  <si>
    <t>=CombiningSharpEdgedJunctionCircularCrossSection_SideBranch_dP(Db_J56;Dt_J56;Q_28;Q_12;A_J56;Rho;Nu;2;Cd;Z64;Z64)</t>
  </si>
  <si>
    <t>=SymetricDividingSharpEdgedTJunctionCircularCrossSection_LeftBranch_dP(Db_J14;Dt_J14;Q_20;Q_21;Rho;Nu;3;Cd;Z66;Z66)</t>
  </si>
  <si>
    <t>=SymetricCombiningSharpEdgedTJunctionCircularCrossSection_LeftBranch_dP(Db_J43;Dt_J43;Q_20;Q_21;Rho;Nu;2;Cd;Z67;Z67)</t>
  </si>
  <si>
    <t>=SymetricDividingSharpEdgedTJunctionCircularCrossSection_LeftBranch_dP(Db_J49;Dt_J49;Q_34;Q_33;Rho;Nu;3;Cd;Z68;Z68)</t>
  </si>
  <si>
    <t>=SymetricDividingSharpEdgedTJunctionCircularCrossSection_RightBranch_dP(Db_J14;Dt_J14;Q_20;Q_21;Rho;Nu;3;Cd;Z70;Z70)</t>
  </si>
  <si>
    <t>=SymetricCombiningSharpEdgedTJunctionCircularCrossSection_RightBranch_dP(Db_J43;Dt_J43;Q_20;Q_21;Rho;Nu;2;Cd;Z71;Z71)</t>
  </si>
  <si>
    <t>=SymetricDividingSharpEdgedTJunctionCircularCrossSection_RightBranch_dP(Db_J49;Dt_J49;Q_34;Q_33;Rho;Nu;3;Cd;Z72;Z72)</t>
  </si>
  <si>
    <t>In the present system, these initial guesses made it possible to find a solution:</t>
  </si>
  <si>
    <t>The problem can be viewed as a system of six equations and  six unknowns.</t>
  </si>
  <si>
    <t xml:space="preserve">    - the diameters of the five orifices plate OP5, OP6, OP44, OP45, OP47 (cells Q8 to Q12),</t>
  </si>
  <si>
    <t xml:space="preserve">    -  the flowrate in the pipe P28 (cell Q13),</t>
  </si>
  <si>
    <t>▪ the variable cells (the six unknowns) which, in our case, are:</t>
  </si>
  <si>
    <t>▪ the constraints (the six équations) to be respected which are:</t>
  </si>
  <si>
    <t xml:space="preserve">    - at node 30: equal pressure from node 1 and that generated by reservoir R37 (cell Q15),</t>
  </si>
  <si>
    <t xml:space="preserve">    - at nodes 43, 54, 51, 53 and 23: at the exit of the combining junctions, equality of the pressures coming from the two input branches (cells Q16 to Q20),</t>
  </si>
  <si>
    <t>Additional constraints can be imposed to facilitate the solution of the system which are:</t>
  </si>
  <si>
    <t>▪ the diameter of the orifices must be less than or equal to the internal diameter of the pipe.</t>
  </si>
  <si>
    <t>Remarks:</t>
  </si>
  <si>
    <t>Note 1:</t>
  </si>
  <si>
    <t>Cells containing input data or calculated values are named using Excel's Name Manager.</t>
  </si>
  <si>
    <t>This allows you to manipulate variable names in functions rather than cell addresses.</t>
  </si>
  <si>
    <t>When the cell is named, the name of the cell is recalled to the left of it by a fuschia-colored text.</t>
  </si>
  <si>
    <t>Note 2:</t>
  </si>
  <si>
    <t>A particular cell named "Cd" makes it possible, when setting up the functions for calculating the components,</t>
  </si>
  <si>
    <t>to deactivate all error messages due to unspecified parameters which take the value 0 by default,</t>
  </si>
  <si>
    <t>and which causes divisions by 0 (# DIV / 0!).</t>
  </si>
  <si>
    <t>and data out of validity limits.</t>
  </si>
  <si>
    <t>It is advised to assign the value 0 to this cell during the modelling of the system,</t>
  </si>
  <si>
    <t>and the value 1 during the execution of the calculations.</t>
  </si>
  <si>
    <t>Comparison of results with the reference:</t>
  </si>
  <si>
    <t>Reference</t>
  </si>
  <si>
    <t>Difference</t>
  </si>
  <si>
    <t>Comparison of orifices diameters (m)</t>
  </si>
  <si>
    <t>Comparison of flowrate (m³/s)</t>
  </si>
  <si>
    <t>Because the direction of flow of the fluid must be known in each branch,</t>
  </si>
  <si>
    <t>This example has been processed under Flowmaster and therefore the direction of flow of all the branches is known.</t>
  </si>
  <si>
    <t>When this case arises, it may be necessary to modify the circuit modeling if the solver does not find solutions.</t>
  </si>
  <si>
    <t>In this example, the flow directions are as follows:</t>
  </si>
  <si>
    <t>Example: cell E19 has the name "rho" which will be used in functions having density as a parameter.</t>
  </si>
  <si>
    <t>one of the difficulties of this system is to know the direction of flow in the pipes 33, 34 and 35.</t>
  </si>
  <si>
    <t>HydrauCalcXL</t>
  </si>
  <si>
    <t>The solver parameters  are presented in the following figure:</t>
  </si>
  <si>
    <t>Before each new execution of the solver, it is advisable to replace the variable cells (Q8 to Q13) by the initial guesses.</t>
  </si>
  <si>
    <t>In the following figure, cells Q21 to Q25 are comments to list all the constraints taken into account.</t>
  </si>
  <si>
    <t>The initial guesses are taken equal:</t>
  </si>
  <si>
    <t>half the inside diameter of the pipe for the diameter of the orifices,</t>
  </si>
  <si>
    <t>to the value of the flow in exchanger number 12 for the flow in branch number 28.</t>
  </si>
  <si>
    <t>Important notes:</t>
  </si>
  <si>
    <t>Before each new execution of the solver, it is advisable to replace the variable cells by the initial guesses.</t>
  </si>
  <si>
    <t>Sometimes the solver does not find a solution when it is restarted while keeping the variable cells</t>
  </si>
  <si>
    <t>resulting from the previous calculation.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</si>
</sst>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"/>
    <numFmt numFmtId="165" formatCode="0.00000"/>
    <numFmt numFmtId="166" formatCode="0.000000"/>
    <numFmt numFmtId="167" formatCode="0.000E+00"/>
    <numFmt numFmtId="168" formatCode="0.0000E+00"/>
    <numFmt numFmtId="169" formatCode="0.000"/>
    <numFmt numFmtId="170" formatCode="0.000%"/>
  </numFmts>
  <fonts count="27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1"/>
      <color rgb="FF548235"/>
      <name val="Calibri"/>
      <family val="2"/>
      <scheme val="minor"/>
    </font>
    <font>
      <sz val="11"/>
      <color rgb="FFED7D31"/>
      <name val="Calibri"/>
      <family val="2"/>
      <scheme val="minor"/>
    </font>
    <font>
      <sz val="11"/>
      <color theme="5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FF"/>
      <name val="Calibri"/>
      <family val="2"/>
      <scheme val="minor"/>
    </font>
    <font>
      <sz val="11"/>
      <name val="Calibri"/>
      <family val="2"/>
      <scheme val="minor"/>
    </font>
    <font>
      <sz val="11"/>
      <color rgb="FFF040D7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rgb="FF538DD5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3DEF8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rgb="FFFABF8F"/>
      </left>
      <right style="medium">
        <color rgb="FFFABF8F"/>
      </right>
      <top style="medium">
        <color rgb="FFFABF8F"/>
      </top>
      <bottom style="medium">
        <color rgb="FFFABF8F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medium">
        <color rgb="FF76933C"/>
      </bottom>
      <diagonal/>
    </border>
    <border>
      <left style="medium">
        <color rgb="FF482CBC"/>
      </left>
      <right style="medium">
        <color rgb="FF482CBC"/>
      </right>
      <top style="medium">
        <color rgb="FF482CBC"/>
      </top>
      <bottom style="medium">
        <color rgb="FF482CBC"/>
      </bottom>
      <diagonal/>
    </border>
    <border>
      <left style="thick">
        <color rgb="FF548235"/>
      </left>
      <right/>
      <top style="thick">
        <color rgb="FF548235"/>
      </top>
      <bottom style="thick">
        <color rgb="FF548235"/>
      </bottom>
      <diagonal/>
    </border>
    <border>
      <left/>
      <right/>
      <top style="thick">
        <color rgb="FF548235"/>
      </top>
      <bottom style="thick">
        <color rgb="FF548235"/>
      </bottom>
      <diagonal/>
    </border>
    <border>
      <left/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ck">
        <color rgb="FF548235"/>
      </bottom>
      <diagonal/>
    </border>
    <border>
      <left style="thick">
        <color rgb="FF548235"/>
      </left>
      <right style="thin">
        <color rgb="FF548235"/>
      </right>
      <top style="thick">
        <color rgb="FF548235"/>
      </top>
      <bottom style="thin">
        <color rgb="FF548235"/>
      </bottom>
      <diagonal/>
    </border>
    <border>
      <left style="thin">
        <color rgb="FF548235"/>
      </left>
      <right style="thin">
        <color rgb="FF548235"/>
      </right>
      <top style="thick">
        <color rgb="FF548235"/>
      </top>
      <bottom style="thin">
        <color rgb="FF548235"/>
      </bottom>
      <diagonal/>
    </border>
    <border>
      <left style="thin">
        <color rgb="FF548235"/>
      </left>
      <right style="thick">
        <color rgb="FF548235"/>
      </right>
      <top style="thick">
        <color rgb="FF548235"/>
      </top>
      <bottom style="thin">
        <color rgb="FF548235"/>
      </bottom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n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n">
        <color rgb="FF548235"/>
      </bottom>
      <diagonal/>
    </border>
    <border>
      <left style="thick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rgb="FF548235"/>
      </left>
      <right style="thick">
        <color rgb="FF548235"/>
      </right>
      <top style="thin">
        <color rgb="FF548235"/>
      </top>
      <bottom style="thick">
        <color rgb="FF54823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rgb="FF76933C"/>
      </left>
      <right style="medium">
        <color rgb="FF76933C"/>
      </right>
      <top style="thin">
        <color auto="1"/>
      </top>
      <bottom style="medium">
        <color rgb="FF76933C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rgb="FF76933C"/>
      </left>
      <right style="medium">
        <color rgb="FF76933C"/>
      </right>
      <top style="medium">
        <color rgb="FF76933C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0" fillId="0" borderId="0" xfId="0" applyBorder="1"/>
    <xf numFmtId="0" fontId="9" fillId="0" borderId="0" xfId="0" applyFont="1"/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6" fillId="0" borderId="0" xfId="0" applyFont="1"/>
    <xf numFmtId="0" fontId="6" fillId="0" borderId="0" xfId="0" quotePrefix="1" applyFont="1"/>
    <xf numFmtId="0" fontId="4" fillId="0" borderId="0" xfId="0" quotePrefix="1" applyFont="1"/>
    <xf numFmtId="1" fontId="5" fillId="0" borderId="0" xfId="0" applyNumberFormat="1" applyFont="1" applyBorder="1" applyAlignment="1">
      <alignment horizontal="center"/>
    </xf>
    <xf numFmtId="169" fontId="0" fillId="0" borderId="0" xfId="0" applyNumberFormat="1" applyAlignment="1">
      <alignment horizontal="left"/>
    </xf>
    <xf numFmtId="167" fontId="2" fillId="0" borderId="0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165" fontId="12" fillId="0" borderId="0" xfId="0" applyNumberFormat="1" applyFont="1" applyAlignment="1">
      <alignment horizontal="left"/>
    </xf>
    <xf numFmtId="168" fontId="8" fillId="0" borderId="0" xfId="0" applyNumberFormat="1" applyFont="1"/>
    <xf numFmtId="168" fontId="9" fillId="0" borderId="0" xfId="0" applyNumberFormat="1" applyFont="1" applyAlignment="1">
      <alignment horizontal="center"/>
    </xf>
    <xf numFmtId="0" fontId="8" fillId="0" borderId="0" xfId="0" applyFont="1"/>
    <xf numFmtId="169" fontId="0" fillId="0" borderId="0" xfId="0" applyNumberFormat="1"/>
    <xf numFmtId="169" fontId="4" fillId="0" borderId="0" xfId="0" applyNumberFormat="1" applyFont="1"/>
    <xf numFmtId="0" fontId="15" fillId="0" borderId="0" xfId="0" applyFont="1"/>
    <xf numFmtId="0" fontId="14" fillId="0" borderId="0" xfId="2"/>
    <xf numFmtId="0" fontId="17" fillId="0" borderId="0" xfId="0" applyFont="1"/>
    <xf numFmtId="0" fontId="0" fillId="2" borderId="1" xfId="0" applyFill="1" applyBorder="1" applyAlignment="1">
      <alignment horizontal="center"/>
    </xf>
    <xf numFmtId="0" fontId="10" fillId="0" borderId="0" xfId="0" quotePrefix="1" applyFont="1"/>
    <xf numFmtId="0" fontId="0" fillId="3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8" fillId="0" borderId="0" xfId="0" applyFont="1"/>
    <xf numFmtId="0" fontId="19" fillId="0" borderId="0" xfId="0" quotePrefix="1" applyFont="1"/>
    <xf numFmtId="0" fontId="9" fillId="0" borderId="0" xfId="0" applyFont="1" applyAlignment="1">
      <alignment horizontal="center"/>
    </xf>
    <xf numFmtId="11" fontId="0" fillId="2" borderId="1" xfId="0" applyNumberFormat="1" applyFill="1" applyBorder="1" applyAlignment="1">
      <alignment horizontal="center"/>
    </xf>
    <xf numFmtId="0" fontId="10" fillId="0" borderId="0" xfId="0" applyFont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0" fontId="18" fillId="0" borderId="0" xfId="0" applyFont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69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165" fontId="17" fillId="0" borderId="0" xfId="0" applyNumberFormat="1" applyFont="1"/>
    <xf numFmtId="165" fontId="1" fillId="0" borderId="0" xfId="0" applyNumberFormat="1" applyFont="1"/>
    <xf numFmtId="1" fontId="0" fillId="4" borderId="3" xfId="0" applyNumberFormat="1" applyFill="1" applyBorder="1" applyAlignment="1">
      <alignment horizontal="center"/>
    </xf>
    <xf numFmtId="0" fontId="17" fillId="5" borderId="0" xfId="0" applyFont="1" applyFill="1"/>
    <xf numFmtId="0" fontId="0" fillId="5" borderId="0" xfId="0" applyFill="1"/>
    <xf numFmtId="0" fontId="10" fillId="5" borderId="0" xfId="0" applyFont="1" applyFill="1"/>
    <xf numFmtId="0" fontId="0" fillId="5" borderId="0" xfId="0" applyFill="1" applyAlignment="1">
      <alignment horizontal="left"/>
    </xf>
    <xf numFmtId="0" fontId="9" fillId="5" borderId="0" xfId="0" applyFont="1" applyFill="1" applyAlignment="1">
      <alignment horizontal="center"/>
    </xf>
    <xf numFmtId="0" fontId="18" fillId="5" borderId="0" xfId="0" applyFont="1" applyFill="1"/>
    <xf numFmtId="0" fontId="8" fillId="5" borderId="0" xfId="0" applyFont="1" applyFill="1" applyAlignment="1">
      <alignment horizontal="left"/>
    </xf>
    <xf numFmtId="0" fontId="16" fillId="0" borderId="0" xfId="0" applyFont="1"/>
    <xf numFmtId="0" fontId="10" fillId="0" borderId="0" xfId="0" applyFont="1" applyAlignment="1">
      <alignment horizontal="left"/>
    </xf>
    <xf numFmtId="165" fontId="0" fillId="5" borderId="2" xfId="0" applyNumberFormat="1" applyFill="1" applyBorder="1" applyAlignment="1">
      <alignment horizontal="center"/>
    </xf>
    <xf numFmtId="0" fontId="20" fillId="0" borderId="0" xfId="0" applyFont="1" applyAlignment="1">
      <alignment horizontal="right"/>
    </xf>
    <xf numFmtId="168" fontId="0" fillId="2" borderId="1" xfId="0" applyNumberFormat="1" applyFill="1" applyBorder="1" applyAlignment="1">
      <alignment horizontal="center"/>
    </xf>
    <xf numFmtId="1" fontId="0" fillId="5" borderId="2" xfId="0" applyNumberFormat="1" applyFill="1" applyBorder="1" applyAlignment="1">
      <alignment horizontal="center"/>
    </xf>
    <xf numFmtId="0" fontId="12" fillId="0" borderId="0" xfId="0" quotePrefix="1" applyFont="1"/>
    <xf numFmtId="0" fontId="21" fillId="0" borderId="0" xfId="2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0" fillId="2" borderId="0" xfId="0" applyFill="1" applyBorder="1" applyAlignment="1">
      <alignment horizontal="center"/>
    </xf>
    <xf numFmtId="1" fontId="0" fillId="5" borderId="0" xfId="0" applyNumberFormat="1" applyFill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4" fillId="0" borderId="11" xfId="0" applyNumberFormat="1" applyFont="1" applyBorder="1" applyAlignment="1">
      <alignment horizontal="center"/>
    </xf>
    <xf numFmtId="170" fontId="4" fillId="0" borderId="12" xfId="1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5" fontId="10" fillId="0" borderId="14" xfId="0" applyNumberFormat="1" applyFont="1" applyBorder="1" applyAlignment="1">
      <alignment horizontal="center"/>
    </xf>
    <xf numFmtId="165" fontId="4" fillId="0" borderId="14" xfId="0" applyNumberFormat="1" applyFont="1" applyBorder="1" applyAlignment="1">
      <alignment horizontal="center"/>
    </xf>
    <xf numFmtId="170" fontId="4" fillId="0" borderId="15" xfId="1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65" fontId="10" fillId="0" borderId="17" xfId="0" applyNumberFormat="1" applyFont="1" applyBorder="1" applyAlignment="1">
      <alignment horizontal="center"/>
    </xf>
    <xf numFmtId="165" fontId="4" fillId="0" borderId="17" xfId="0" applyNumberFormat="1" applyFont="1" applyBorder="1" applyAlignment="1">
      <alignment horizontal="center"/>
    </xf>
    <xf numFmtId="170" fontId="4" fillId="0" borderId="18" xfId="1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65" fontId="10" fillId="0" borderId="8" xfId="0" applyNumberFormat="1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170" fontId="4" fillId="0" borderId="9" xfId="1" applyNumberFormat="1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9" fillId="5" borderId="19" xfId="0" applyFont="1" applyFill="1" applyBorder="1" applyAlignment="1">
      <alignment horizontal="center"/>
    </xf>
    <xf numFmtId="165" fontId="0" fillId="5" borderId="20" xfId="0" applyNumberFormat="1" applyFill="1" applyBorder="1" applyAlignment="1">
      <alignment horizontal="center"/>
    </xf>
    <xf numFmtId="0" fontId="18" fillId="5" borderId="21" xfId="0" applyFont="1" applyFill="1" applyBorder="1"/>
    <xf numFmtId="0" fontId="9" fillId="5" borderId="22" xfId="0" applyFont="1" applyFill="1" applyBorder="1" applyAlignment="1">
      <alignment horizontal="center"/>
    </xf>
    <xf numFmtId="0" fontId="18" fillId="5" borderId="23" xfId="0" applyFont="1" applyFill="1" applyBorder="1"/>
    <xf numFmtId="0" fontId="9" fillId="5" borderId="24" xfId="0" applyFont="1" applyFill="1" applyBorder="1" applyAlignment="1">
      <alignment horizontal="center"/>
    </xf>
    <xf numFmtId="165" fontId="0" fillId="5" borderId="25" xfId="0" applyNumberFormat="1" applyFill="1" applyBorder="1" applyAlignment="1">
      <alignment horizontal="center"/>
    </xf>
    <xf numFmtId="0" fontId="18" fillId="5" borderId="26" xfId="0" applyFont="1" applyFill="1" applyBorder="1"/>
    <xf numFmtId="0" fontId="25" fillId="0" borderId="4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5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/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040D7"/>
      <color rgb="FF548235"/>
      <color rgb="FFED7D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200"/>
              <a:t>Heat Exchangers</a:t>
            </a:r>
            <a:r>
              <a:rPr lang="fr-FR" sz="1200" baseline="0"/>
              <a:t> - Pressure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673738881558081"/>
          <c:y val="0.15708003298268408"/>
          <c:w val="0.74312975818437477"/>
          <c:h val="0.64715560045261955"/>
        </c:manualLayout>
      </c:layout>
      <c:scatterChart>
        <c:scatterStyle val="smoothMarker"/>
        <c:varyColors val="0"/>
        <c:ser>
          <c:idx val="3"/>
          <c:order val="0"/>
          <c:tx>
            <c:strRef>
              <c:f>System!$B$106</c:f>
              <c:strCache>
                <c:ptCount val="1"/>
                <c:pt idx="0">
                  <c:v>Heat Exchangers</c:v>
                </c:pt>
              </c:strCache>
            </c:strRef>
          </c:tx>
          <c:spPr>
            <a:ln w="28575">
              <a:solidFill>
                <a:schemeClr val="accent4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4"/>
              </a:solidFill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marker>
          <c:xVal>
            <c:numRef>
              <c:f>System!$B$109:$B$119</c:f>
              <c:numCache>
                <c:formatCode>0.0000</c:formatCode>
                <c:ptCount val="11"/>
                <c:pt idx="0">
                  <c:v>0</c:v>
                </c:pt>
                <c:pt idx="1">
                  <c:v>2.5000000000000001E-3</c:v>
                </c:pt>
                <c:pt idx="2">
                  <c:v>5.0000000000000001E-3</c:v>
                </c:pt>
                <c:pt idx="3">
                  <c:v>7.4999999999999997E-3</c:v>
                </c:pt>
                <c:pt idx="4">
                  <c:v>0.01</c:v>
                </c:pt>
                <c:pt idx="5">
                  <c:v>1.2500000000000001E-2</c:v>
                </c:pt>
                <c:pt idx="6">
                  <c:v>1.4999999999999999E-2</c:v>
                </c:pt>
                <c:pt idx="7">
                  <c:v>1.7500000000000002E-2</c:v>
                </c:pt>
                <c:pt idx="8">
                  <c:v>0.02</c:v>
                </c:pt>
                <c:pt idx="9">
                  <c:v>2.2499999999999999E-2</c:v>
                </c:pt>
                <c:pt idx="10">
                  <c:v>2.5000000000000001E-2</c:v>
                </c:pt>
              </c:numCache>
            </c:numRef>
          </c:xVal>
          <c:yVal>
            <c:numRef>
              <c:f>System!$C$109:$C$119</c:f>
              <c:numCache>
                <c:formatCode>0.00</c:formatCode>
                <c:ptCount val="11"/>
                <c:pt idx="0">
                  <c:v>0</c:v>
                </c:pt>
                <c:pt idx="1">
                  <c:v>1.7935352325439453</c:v>
                </c:pt>
                <c:pt idx="2">
                  <c:v>7.1741409301757813</c:v>
                </c:pt>
                <c:pt idx="3">
                  <c:v>16.141817092895508</c:v>
                </c:pt>
                <c:pt idx="4">
                  <c:v>28.696563720703125</c:v>
                </c:pt>
                <c:pt idx="5">
                  <c:v>44.838382720947266</c:v>
                </c:pt>
                <c:pt idx="6">
                  <c:v>64.567268371582031</c:v>
                </c:pt>
                <c:pt idx="7">
                  <c:v>87.883232116699219</c:v>
                </c:pt>
                <c:pt idx="8">
                  <c:v>114.7862548828125</c:v>
                </c:pt>
                <c:pt idx="9">
                  <c:v>145.2763671875</c:v>
                </c:pt>
                <c:pt idx="10">
                  <c:v>179.35353088378906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60D-4CC1-9DEB-A7D13B9F68E9}"/>
            </c:ext>
          </c:extLst>
        </c:ser>
        <c:ser>
          <c:idx val="0"/>
          <c:order val="1"/>
          <c:tx>
            <c:strRef>
              <c:f>System!$Z$10</c:f>
              <c:strCache>
                <c:ptCount val="1"/>
                <c:pt idx="0">
                  <c:v>HE12</c:v>
                </c:pt>
              </c:strCache>
            </c:strRef>
          </c:tx>
          <c:spPr>
            <a:ln w="28575">
              <a:solidFill>
                <a:schemeClr val="accent1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 cap="flat" cmpd="sng" algn="ctr">
                <a:solidFill>
                  <a:schemeClr val="accent1"/>
                </a:solidFill>
                <a:round/>
              </a:ln>
              <a:effectLst/>
            </c:spPr>
          </c:marker>
          <c:xVal>
            <c:numRef>
              <c:f>System!$E$24</c:f>
              <c:numCache>
                <c:formatCode>0.00000</c:formatCode>
                <c:ptCount val="1"/>
                <c:pt idx="0">
                  <c:v>1.4E-2</c:v>
                </c:pt>
              </c:numCache>
            </c:numRef>
          </c:xVal>
          <c:yVal>
            <c:numRef>
              <c:f>System!$AB$10</c:f>
              <c:numCache>
                <c:formatCode>0</c:formatCode>
                <c:ptCount val="1"/>
                <c:pt idx="0">
                  <c:v>56.245269775390625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9B-4992-A556-39A4065E9FFA}"/>
            </c:ext>
          </c:extLst>
        </c:ser>
        <c:ser>
          <c:idx val="1"/>
          <c:order val="2"/>
          <c:tx>
            <c:strRef>
              <c:f>System!$Z$9</c:f>
              <c:strCache>
                <c:ptCount val="1"/>
                <c:pt idx="0">
                  <c:v>HE11</c:v>
                </c:pt>
              </c:strCache>
            </c:strRef>
          </c:tx>
          <c:spPr>
            <a:ln w="28575">
              <a:solidFill>
                <a:schemeClr val="accent2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2"/>
              </a:solidFill>
              <a:ln w="9525" cap="flat" cmpd="sng" algn="ctr">
                <a:solidFill>
                  <a:schemeClr val="accent2"/>
                </a:solidFill>
                <a:round/>
              </a:ln>
              <a:effectLst/>
            </c:spPr>
          </c:marker>
          <c:xVal>
            <c:numRef>
              <c:f>System!$E$23</c:f>
              <c:numCache>
                <c:formatCode>0.00000</c:formatCode>
                <c:ptCount val="1"/>
                <c:pt idx="0">
                  <c:v>1.4E-2</c:v>
                </c:pt>
              </c:numCache>
            </c:numRef>
          </c:xVal>
          <c:yVal>
            <c:numRef>
              <c:f>System!$AB$9</c:f>
              <c:numCache>
                <c:formatCode>0</c:formatCode>
                <c:ptCount val="1"/>
                <c:pt idx="0">
                  <c:v>56.245269775390625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39B-4992-A556-39A4065E9FFA}"/>
            </c:ext>
          </c:extLst>
        </c:ser>
        <c:ser>
          <c:idx val="2"/>
          <c:order val="3"/>
          <c:tx>
            <c:strRef>
              <c:f>System!$Z$11</c:f>
              <c:strCache>
                <c:ptCount val="1"/>
                <c:pt idx="0">
                  <c:v>HE20</c:v>
                </c:pt>
              </c:strCache>
            </c:strRef>
          </c:tx>
          <c:spPr>
            <a:ln w="28575">
              <a:solidFill>
                <a:schemeClr val="accent3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System!$E$25</c:f>
              <c:numCache>
                <c:formatCode>0.00000</c:formatCode>
                <c:ptCount val="1"/>
                <c:pt idx="0">
                  <c:v>1.7999999999999999E-2</c:v>
                </c:pt>
              </c:numCache>
            </c:numRef>
          </c:xVal>
          <c:yVal>
            <c:numRef>
              <c:f>System!$AB$11</c:f>
              <c:numCache>
                <c:formatCode>0</c:formatCode>
                <c:ptCount val="1"/>
                <c:pt idx="0">
                  <c:v>92.976860046386719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E6A-412A-A77C-6FCDC7FDB968}"/>
            </c:ext>
          </c:extLst>
        </c:ser>
        <c:ser>
          <c:idx val="4"/>
          <c:order val="4"/>
          <c:tx>
            <c:strRef>
              <c:f>System!$Z$12</c:f>
              <c:strCache>
                <c:ptCount val="1"/>
                <c:pt idx="0">
                  <c:v>HE21</c:v>
                </c:pt>
              </c:strCache>
            </c:strRef>
          </c:tx>
          <c:spPr>
            <a:ln w="28575">
              <a:solidFill>
                <a:schemeClr val="accent5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5"/>
              </a:solidFill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marker>
          <c:xVal>
            <c:numRef>
              <c:f>System!$E$26</c:f>
              <c:numCache>
                <c:formatCode>0.00000</c:formatCode>
                <c:ptCount val="1"/>
                <c:pt idx="0">
                  <c:v>1.7999999999999999E-2</c:v>
                </c:pt>
              </c:numCache>
            </c:numRef>
          </c:xVal>
          <c:yVal>
            <c:numRef>
              <c:f>System!$AB$12</c:f>
              <c:numCache>
                <c:formatCode>0</c:formatCode>
                <c:ptCount val="1"/>
                <c:pt idx="0">
                  <c:v>92.976860046386719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E6A-412A-A77C-6FCDC7FDB968}"/>
            </c:ext>
          </c:extLst>
        </c:ser>
        <c:ser>
          <c:idx val="5"/>
          <c:order val="5"/>
          <c:tx>
            <c:strRef>
              <c:f>System!$Z$13</c:f>
              <c:strCache>
                <c:ptCount val="1"/>
                <c:pt idx="0">
                  <c:v>HE31</c:v>
                </c:pt>
              </c:strCache>
            </c:strRef>
          </c:tx>
          <c:spPr>
            <a:ln w="28575">
              <a:solidFill>
                <a:schemeClr val="accent6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6"/>
              </a:solidFill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marker>
          <c:xVal>
            <c:numRef>
              <c:f>System!$E$27</c:f>
              <c:numCache>
                <c:formatCode>0.00000</c:formatCode>
                <c:ptCount val="1"/>
                <c:pt idx="0">
                  <c:v>1.4999999999999999E-2</c:v>
                </c:pt>
              </c:numCache>
            </c:numRef>
          </c:xVal>
          <c:yVal>
            <c:numRef>
              <c:f>System!$AB$13</c:f>
              <c:numCache>
                <c:formatCode>0</c:formatCode>
                <c:ptCount val="1"/>
                <c:pt idx="0">
                  <c:v>64.567268371582031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E6A-412A-A77C-6FCDC7FDB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Pressure loss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8652407493805498"/>
          <c:y val="0.22437149068167783"/>
          <c:w val="0.31169145369737922"/>
          <c:h val="0.327536614705850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7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Pumps - Head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70" baseline="0">
              <a:solidFill>
                <a:schemeClr val="dk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System!$B$90</c:f>
              <c:strCache>
                <c:ptCount val="1"/>
                <c:pt idx="0">
                  <c:v>Pump</c:v>
                </c:pt>
              </c:strCache>
            </c:strRef>
          </c:tx>
          <c:spPr>
            <a:ln w="28575">
              <a:solidFill>
                <a:schemeClr val="accent3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 cap="flat" cmpd="sng" algn="ctr">
                <a:solidFill>
                  <a:schemeClr val="accent3"/>
                </a:solidFill>
                <a:round/>
              </a:ln>
              <a:effectLst/>
            </c:spPr>
          </c:marker>
          <c:xVal>
            <c:numRef>
              <c:f>System!$B$93:$B$103</c:f>
              <c:numCache>
                <c:formatCode>0.000000</c:formatCode>
                <c:ptCount val="11"/>
                <c:pt idx="0" formatCode="0.0000">
                  <c:v>0</c:v>
                </c:pt>
                <c:pt idx="1">
                  <c:v>9.7216400000000001E-3</c:v>
                </c:pt>
                <c:pt idx="2" formatCode="0.00000">
                  <c:v>1.94439E-2</c:v>
                </c:pt>
                <c:pt idx="3" formatCode="0.00000">
                  <c:v>2.91662E-2</c:v>
                </c:pt>
                <c:pt idx="4" formatCode="0.00000">
                  <c:v>3.8888499999999999E-2</c:v>
                </c:pt>
                <c:pt idx="5" formatCode="0.00000">
                  <c:v>4.8610800000000003E-2</c:v>
                </c:pt>
                <c:pt idx="6" formatCode="0.00000">
                  <c:v>5.8333099999999999E-2</c:v>
                </c:pt>
                <c:pt idx="7" formatCode="0.00000">
                  <c:v>6.6111100000000006E-2</c:v>
                </c:pt>
                <c:pt idx="8" formatCode="0.00000">
                  <c:v>7.7777700000000005E-2</c:v>
                </c:pt>
                <c:pt idx="9" formatCode="0.00000">
                  <c:v>8.8888800000000004E-2</c:v>
                </c:pt>
                <c:pt idx="10" formatCode="0.0000">
                  <c:v>0.12</c:v>
                </c:pt>
              </c:numCache>
            </c:numRef>
          </c:xVal>
          <c:yVal>
            <c:numRef>
              <c:f>System!$C$93:$C$103</c:f>
              <c:numCache>
                <c:formatCode>0.00</c:formatCode>
                <c:ptCount val="11"/>
                <c:pt idx="0">
                  <c:v>15.7</c:v>
                </c:pt>
                <c:pt idx="1">
                  <c:v>16.352</c:v>
                </c:pt>
                <c:pt idx="2">
                  <c:v>16.576000000000001</c:v>
                </c:pt>
                <c:pt idx="3">
                  <c:v>16.128</c:v>
                </c:pt>
                <c:pt idx="4">
                  <c:v>15.231999999999999</c:v>
                </c:pt>
                <c:pt idx="5">
                  <c:v>14.112</c:v>
                </c:pt>
                <c:pt idx="6">
                  <c:v>12.544</c:v>
                </c:pt>
                <c:pt idx="7">
                  <c:v>11.2</c:v>
                </c:pt>
                <c:pt idx="8" formatCode="0.000">
                  <c:v>8.9600000000000009</c:v>
                </c:pt>
                <c:pt idx="9" formatCode="0.000">
                  <c:v>6.72</c:v>
                </c:pt>
                <c:pt idx="10" formatCode="0.0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7BA-4DCA-B41C-DF0E7E05E175}"/>
            </c:ext>
          </c:extLst>
        </c:ser>
        <c:ser>
          <c:idx val="0"/>
          <c:order val="1"/>
          <c:spPr>
            <a:ln w="28575">
              <a:solidFill>
                <a:schemeClr val="accent1">
                  <a:alpha val="20000"/>
                </a:schemeClr>
              </a:solidFill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 cap="flat" cmpd="sng" algn="ctr">
                <a:solidFill>
                  <a:srgbClr val="FF0000"/>
                </a:solidFill>
                <a:round/>
              </a:ln>
              <a:effectLst/>
            </c:spPr>
          </c:marker>
          <c:xVal>
            <c:numRef>
              <c:f>System!$Q$29</c:f>
              <c:numCache>
                <c:formatCode>0.00000</c:formatCode>
                <c:ptCount val="1"/>
                <c:pt idx="0">
                  <c:v>6.5000000000000002E-2</c:v>
                </c:pt>
              </c:numCache>
            </c:numRef>
          </c:xVal>
          <c:yVal>
            <c:numRef>
              <c:f>System!$AB$75</c:f>
              <c:numCache>
                <c:formatCode>0</c:formatCode>
                <c:ptCount val="1"/>
                <c:pt idx="0">
                  <c:v>11.397966384887695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03-42FF-A425-4515D5A75D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047624"/>
        <c:axId val="779045984"/>
      </c:scatterChart>
      <c:valAx>
        <c:axId val="779047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flowrate (m³/s)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5984"/>
        <c:crosses val="autoZero"/>
        <c:crossBetween val="midCat"/>
      </c:valAx>
      <c:valAx>
        <c:axId val="7790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Head (m fluid)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79047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100000">
          <a:schemeClr val="lt1">
            <a:lumMod val="95000"/>
          </a:schemeClr>
        </a:gs>
        <a:gs pos="43000">
          <a:schemeClr val="lt1"/>
        </a:gs>
      </a:gsLst>
      <a:path path="circle">
        <a:fillToRect l="50000" t="50000" r="50000" b="50000"/>
      </a:path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4">
  <cs:axisTitle>
    <cs:lnRef idx="0"/>
    <cs:fillRef idx="0"/>
    <cs:effectRef idx="0"/>
    <cs:fontRef idx="minor">
      <a:schemeClr val="dk1">
        <a:lumMod val="50000"/>
        <a:lumOff val="50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100000">
            <a:schemeClr val="lt1">
              <a:lumMod val="95000"/>
            </a:schemeClr>
          </a:gs>
          <a:gs pos="43000">
            <a:schemeClr val="lt1"/>
          </a:gs>
        </a:gsLst>
        <a:path path="circle">
          <a:fillToRect l="50000" t="50000" r="50000" b="50000"/>
        </a:path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>
        <a:solidFill>
          <a:schemeClr val="phClr">
            <a:alpha val="20000"/>
          </a:schemeClr>
        </a:solidFill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50000"/>
        <a:lumOff val="50000"/>
      </a:schemeClr>
    </cs:fontRef>
    <cs:spPr>
      <a:ln w="9525" cap="rnd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>
        <a:lumMod val="50000"/>
        <a:lumOff val="50000"/>
      </a:schemeClr>
    </cs:fontRef>
    <cs:defRPr sz="1600" b="0" kern="1200" spc="70" baseline="0"/>
  </cs:title>
  <cs:trendline>
    <cs:lnRef idx="0">
      <cs:styleClr val="0"/>
    </cs:lnRef>
    <cs:fillRef idx="0"/>
    <cs:effectRef idx="0"/>
    <cs:fontRef idx="minor">
      <a:schemeClr val="tx1"/>
    </cs:fontRef>
    <cs:spPr>
      <a:ln w="63500" cap="rnd" cmpd="sng" algn="ctr">
        <a:solidFill>
          <a:schemeClr val="phClr">
            <a:alpha val="25000"/>
          </a:schemeClr>
        </a:solidFill>
        <a:round/>
      </a:ln>
    </cs:spPr>
  </cs:trendline>
  <cs:trendlineLabel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emf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78441</xdr:colOff>
      <xdr:row>14</xdr:row>
      <xdr:rowOff>68356</xdr:rowOff>
    </xdr:from>
    <xdr:to>
      <xdr:col>10</xdr:col>
      <xdr:colOff>37620</xdr:colOff>
      <xdr:row>45</xdr:row>
      <xdr:rowOff>176859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07C2E7C-EFF1-4087-851B-330DD5140D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0441" y="2029385"/>
          <a:ext cx="5293179" cy="6014003"/>
        </a:xfrm>
        <a:prstGeom prst="rect">
          <a:avLst/>
        </a:prstGeom>
        <a:ln>
          <a:solidFill>
            <a:schemeClr val="accent1"/>
          </a:solidFill>
        </a:ln>
        <a:effectLst>
          <a:glow rad="127000">
            <a:schemeClr val="accent5">
              <a:alpha val="40000"/>
            </a:schemeClr>
          </a:glow>
        </a:effec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4</xdr:col>
      <xdr:colOff>298779</xdr:colOff>
      <xdr:row>3</xdr:row>
      <xdr:rowOff>27184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72954C9-5486-4339-8B47-95E4C5C20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71470"/>
        </a:xfrm>
        <a:prstGeom prst="rect">
          <a:avLst/>
        </a:prstGeom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24</xdr:col>
      <xdr:colOff>9048</xdr:colOff>
      <xdr:row>15</xdr:row>
      <xdr:rowOff>38024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1D1BCB95-57C0-4AFD-BCC0-31211FC7E2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00" y="2566147"/>
          <a:ext cx="3819048" cy="6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24</xdr:col>
      <xdr:colOff>9048</xdr:colOff>
      <xdr:row>24</xdr:row>
      <xdr:rowOff>66524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11198E0E-0331-423B-8744-4EBFF8AB14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30000" y="3709147"/>
          <a:ext cx="3819048" cy="1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24</xdr:col>
      <xdr:colOff>9048</xdr:colOff>
      <xdr:row>31</xdr:row>
      <xdr:rowOff>47524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9EEC9138-0120-4777-BE73-E7259E2E3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430000" y="5423647"/>
          <a:ext cx="3819048" cy="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26</xdr:col>
      <xdr:colOff>8857</xdr:colOff>
      <xdr:row>61</xdr:row>
      <xdr:rowOff>21201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986161CA-E8F8-4257-80C8-3DEE898F27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430000" y="6757147"/>
          <a:ext cx="5342857" cy="52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22</xdr:col>
      <xdr:colOff>9525</xdr:colOff>
      <xdr:row>71</xdr:row>
      <xdr:rowOff>76200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6B749A3D-3C9E-4B5C-B177-0DB3A118F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0" y="12515850"/>
          <a:ext cx="2295525" cy="1409700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26</xdr:col>
      <xdr:colOff>8857</xdr:colOff>
      <xdr:row>87</xdr:row>
      <xdr:rowOff>69095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4451FACD-90B8-4CEA-A397-6846CC86C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430000" y="14657294"/>
          <a:ext cx="5342857" cy="24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24</xdr:col>
      <xdr:colOff>9048</xdr:colOff>
      <xdr:row>98</xdr:row>
      <xdr:rowOff>66500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C0F53397-8AAA-447D-B7FA-337E4ADFB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430000" y="17705294"/>
          <a:ext cx="3819048" cy="14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27</xdr:col>
      <xdr:colOff>8762</xdr:colOff>
      <xdr:row>114</xdr:row>
      <xdr:rowOff>123476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62FCFD05-88CD-490B-9543-97FB04F0A2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430000" y="19419794"/>
          <a:ext cx="6104762" cy="27904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27</xdr:col>
      <xdr:colOff>8762</xdr:colOff>
      <xdr:row>132</xdr:row>
      <xdr:rowOff>69048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CEC49807-6B14-4BB4-9783-51B77A3BF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430000" y="22848794"/>
          <a:ext cx="6104762" cy="27904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32</xdr:col>
      <xdr:colOff>379714</xdr:colOff>
      <xdr:row>209</xdr:row>
      <xdr:rowOff>55476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96BCEE06-BBC3-4E1E-A487-D7EEE37AD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430000" y="27073412"/>
          <a:ext cx="10285714" cy="1339047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214</xdr:row>
      <xdr:rowOff>0</xdr:rowOff>
    </xdr:from>
    <xdr:to>
      <xdr:col>27</xdr:col>
      <xdr:colOff>380190</xdr:colOff>
      <xdr:row>218</xdr:row>
      <xdr:rowOff>47524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F9934124-1F21-423C-97DE-640F18DC3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430000" y="41170412"/>
          <a:ext cx="6476190" cy="8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225</xdr:row>
      <xdr:rowOff>0</xdr:rowOff>
    </xdr:from>
    <xdr:to>
      <xdr:col>29</xdr:col>
      <xdr:colOff>275238</xdr:colOff>
      <xdr:row>256</xdr:row>
      <xdr:rowOff>104024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FF2F7DE7-BBBC-45C1-A4B4-D38E1A3C56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1811000" y="43311536"/>
          <a:ext cx="7895238" cy="60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260</xdr:row>
      <xdr:rowOff>0</xdr:rowOff>
    </xdr:from>
    <xdr:to>
      <xdr:col>26</xdr:col>
      <xdr:colOff>275524</xdr:colOff>
      <xdr:row>270</xdr:row>
      <xdr:rowOff>104524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ECBE0F42-26D2-42A4-ADEA-771F045A2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1811000" y="49979036"/>
          <a:ext cx="5609524" cy="200952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328</xdr:row>
      <xdr:rowOff>4802</xdr:rowOff>
    </xdr:from>
    <xdr:to>
      <xdr:col>26</xdr:col>
      <xdr:colOff>94571</xdr:colOff>
      <xdr:row>357</xdr:row>
      <xdr:rowOff>185064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E55A4446-CD5E-4EC8-BF63-AD55B5A0FF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63958373"/>
          <a:ext cx="5428571" cy="570476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361</xdr:row>
      <xdr:rowOff>54429</xdr:rowOff>
    </xdr:from>
    <xdr:to>
      <xdr:col>26</xdr:col>
      <xdr:colOff>180286</xdr:colOff>
      <xdr:row>380</xdr:row>
      <xdr:rowOff>111201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61405021-35BE-4CC6-9084-A7BF1E7CC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11811000" y="66430072"/>
          <a:ext cx="5514286" cy="367627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19</xdr:col>
      <xdr:colOff>0</xdr:colOff>
      <xdr:row>289</xdr:row>
      <xdr:rowOff>712</xdr:rowOff>
    </xdr:from>
    <xdr:to>
      <xdr:col>26</xdr:col>
      <xdr:colOff>504095</xdr:colOff>
      <xdr:row>310</xdr:row>
      <xdr:rowOff>160693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C03EBB7-82F7-4330-A2A6-A946EB907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811000" y="53612855"/>
          <a:ext cx="5838095" cy="416048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23470</xdr:colOff>
      <xdr:row>137</xdr:row>
      <xdr:rowOff>29685</xdr:rowOff>
    </xdr:from>
    <xdr:to>
      <xdr:col>9</xdr:col>
      <xdr:colOff>108708</xdr:colOff>
      <xdr:row>142</xdr:row>
      <xdr:rowOff>91669</xdr:rowOff>
    </xdr:to>
    <xdr:pic>
      <xdr:nvPicPr>
        <xdr:cNvPr id="30" name="Image 1">
          <a:extLst>
            <a:ext uri="{FF2B5EF4-FFF2-40B4-BE49-F238E27FC236}">
              <a16:creationId xmlns:a16="http://schemas.microsoft.com/office/drawing/2014/main" id="{053CD020-9C2B-469D-AFCA-960740EB5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47470" y="25624721"/>
          <a:ext cx="3895238" cy="1014484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0</xdr:colOff>
      <xdr:row>149</xdr:row>
      <xdr:rowOff>57150</xdr:rowOff>
    </xdr:from>
    <xdr:to>
      <xdr:col>8</xdr:col>
      <xdr:colOff>390143</xdr:colOff>
      <xdr:row>151</xdr:row>
      <xdr:rowOff>92077</xdr:rowOff>
    </xdr:to>
    <xdr:pic>
      <xdr:nvPicPr>
        <xdr:cNvPr id="31" name="Image 2">
          <a:extLst>
            <a:ext uri="{FF2B5EF4-FFF2-40B4-BE49-F238E27FC236}">
              <a16:creationId xmlns:a16="http://schemas.microsoft.com/office/drawing/2014/main" id="{AF0CD309-7F81-4238-A6CD-C77C7AD5F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1905000" y="20699186"/>
          <a:ext cx="3057143" cy="41592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0</xdr:colOff>
      <xdr:row>96</xdr:row>
      <xdr:rowOff>0</xdr:rowOff>
    </xdr:from>
    <xdr:to>
      <xdr:col>10</xdr:col>
      <xdr:colOff>721179</xdr:colOff>
      <xdr:row>127</xdr:row>
      <xdr:rowOff>103957</xdr:rowOff>
    </xdr:to>
    <xdr:pic>
      <xdr:nvPicPr>
        <xdr:cNvPr id="32" name="Image 8">
          <a:extLst>
            <a:ext uri="{FF2B5EF4-FFF2-40B4-BE49-F238E27FC236}">
              <a16:creationId xmlns:a16="http://schemas.microsoft.com/office/drawing/2014/main" id="{7CE87492-F849-4E91-BA58-EAF7E43D69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0" y="17730107"/>
          <a:ext cx="5293179" cy="6009457"/>
        </a:xfrm>
        <a:prstGeom prst="rect">
          <a:avLst/>
        </a:prstGeom>
        <a:ln>
          <a:noFill/>
        </a:ln>
        <a:effectLst/>
      </xdr:spPr>
    </xdr:pic>
    <xdr:clientData/>
  </xdr:twoCellAnchor>
  <xdr:twoCellAnchor editAs="oneCell">
    <xdr:from>
      <xdr:col>19</xdr:col>
      <xdr:colOff>0</xdr:colOff>
      <xdr:row>384</xdr:row>
      <xdr:rowOff>0</xdr:rowOff>
    </xdr:from>
    <xdr:to>
      <xdr:col>23</xdr:col>
      <xdr:colOff>275809</xdr:colOff>
      <xdr:row>399</xdr:row>
      <xdr:rowOff>142500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8D1EEAC-87D9-4B98-80AD-779E85C15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11430000" y="73859571"/>
          <a:ext cx="3323809" cy="3000000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105</xdr:row>
      <xdr:rowOff>0</xdr:rowOff>
    </xdr:from>
    <xdr:to>
      <xdr:col>8</xdr:col>
      <xdr:colOff>734786</xdr:colOff>
      <xdr:row>119</xdr:row>
      <xdr:rowOff>0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89</xdr:row>
      <xdr:rowOff>3361</xdr:rowOff>
    </xdr:from>
    <xdr:to>
      <xdr:col>8</xdr:col>
      <xdr:colOff>734786</xdr:colOff>
      <xdr:row>103</xdr:row>
      <xdr:rowOff>11205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1</xdr:row>
      <xdr:rowOff>0</xdr:rowOff>
    </xdr:from>
    <xdr:to>
      <xdr:col>2</xdr:col>
      <xdr:colOff>679779</xdr:colOff>
      <xdr:row>3</xdr:row>
      <xdr:rowOff>24943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F5C2872-E14E-49B7-878E-06887385C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1441779" cy="562825"/>
        </a:xfrm>
        <a:prstGeom prst="rect">
          <a:avLst/>
        </a:prstGeom>
      </xdr:spPr>
    </xdr:pic>
    <xdr:clientData/>
  </xdr:twoCellAnchor>
  <xdr:twoCellAnchor editAs="oneCell">
    <xdr:from>
      <xdr:col>6</xdr:col>
      <xdr:colOff>108857</xdr:colOff>
      <xdr:row>3</xdr:row>
      <xdr:rowOff>171290</xdr:rowOff>
    </xdr:from>
    <xdr:to>
      <xdr:col>13</xdr:col>
      <xdr:colOff>68036</xdr:colOff>
      <xdr:row>33</xdr:row>
      <xdr:rowOff>31023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8C8F059-644F-4C0C-8706-4385F4FB2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231821" y="906076"/>
          <a:ext cx="5293179" cy="5928518"/>
        </a:xfrm>
        <a:prstGeom prst="rect">
          <a:avLst/>
        </a:prstGeom>
        <a:ln>
          <a:solidFill>
            <a:schemeClr val="accent1"/>
          </a:solidFill>
        </a:ln>
        <a:effectLst>
          <a:glow rad="127000">
            <a:schemeClr val="accent5">
              <a:alpha val="40000"/>
            </a:schemeClr>
          </a:glow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ydrauCalc/Exemples%20syst&#232;mes%20complets/Exemples%20HydrauCalcXL/__Tutoriels/7%20-%20AFT%20Fathom%2010%20-%20Examples%20-%20Hot%20Water%20System/Tutorial%207%20-%20Flow%20balancing%20proble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System"/>
    </sheetNames>
    <sheetDataSet>
      <sheetData sheetId="0" refreshError="1"/>
      <sheetData sheetId="1">
        <row r="8">
          <cell r="Y8">
            <v>1.289597194337661E-2</v>
          </cell>
        </row>
        <row r="9">
          <cell r="Y9">
            <v>1.3020411448046791E-2</v>
          </cell>
        </row>
        <row r="23">
          <cell r="Y23">
            <v>1.2972505497465486E-2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63500"/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hydraucalc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ydraucalc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DC13A-3BF4-4F04-9A98-FED67E963E05}">
  <sheetPr codeName="Feuil1"/>
  <dimension ref="B2:AD403"/>
  <sheetViews>
    <sheetView zoomScale="70" zoomScaleNormal="70" workbookViewId="0"/>
  </sheetViews>
  <sheetFormatPr baseColWidth="10" defaultColWidth="11.42578125" defaultRowHeight="15" x14ac:dyDescent="0.25"/>
  <cols>
    <col min="2" max="5" width="5.7109375" customWidth="1"/>
    <col min="17" max="19" width="5.7109375" customWidth="1"/>
  </cols>
  <sheetData>
    <row r="2" spans="2:25" ht="21" x14ac:dyDescent="0.35">
      <c r="G2" s="23" t="s">
        <v>36</v>
      </c>
    </row>
    <row r="3" spans="2:25" ht="21" x14ac:dyDescent="0.35">
      <c r="G3" s="23" t="s">
        <v>114</v>
      </c>
    </row>
    <row r="4" spans="2:25" x14ac:dyDescent="0.25">
      <c r="B4" s="16" t="s">
        <v>115</v>
      </c>
    </row>
    <row r="5" spans="2:25" x14ac:dyDescent="0.25">
      <c r="B5" s="24" t="s">
        <v>113</v>
      </c>
    </row>
    <row r="7" spans="2:25" ht="18.75" x14ac:dyDescent="0.3">
      <c r="B7" s="60" t="s">
        <v>404</v>
      </c>
      <c r="F7" s="61" t="s">
        <v>260</v>
      </c>
      <c r="Q7" s="62" t="s">
        <v>288</v>
      </c>
    </row>
    <row r="8" spans="2:25" ht="19.5" thickBot="1" x14ac:dyDescent="0.35">
      <c r="B8" s="24"/>
      <c r="G8" s="61" t="s">
        <v>261</v>
      </c>
    </row>
    <row r="9" spans="2:25" ht="15" customHeight="1" thickBot="1" x14ac:dyDescent="0.35">
      <c r="B9" s="24"/>
      <c r="F9" s="61"/>
      <c r="R9" s="63" t="s">
        <v>289</v>
      </c>
      <c r="Y9" s="26"/>
    </row>
    <row r="10" spans="2:25" ht="18.75" x14ac:dyDescent="0.3">
      <c r="B10" s="24"/>
      <c r="F10" s="98" t="s">
        <v>405</v>
      </c>
    </row>
    <row r="11" spans="2:25" ht="18.75" x14ac:dyDescent="0.3">
      <c r="B11" s="24"/>
      <c r="F11" s="98" t="s">
        <v>406</v>
      </c>
      <c r="S11" s="53" t="s">
        <v>290</v>
      </c>
    </row>
    <row r="12" spans="2:25" ht="18.75" x14ac:dyDescent="0.3">
      <c r="B12" s="24"/>
      <c r="F12" s="25"/>
      <c r="G12" s="61" t="s">
        <v>407</v>
      </c>
    </row>
    <row r="13" spans="2:25" ht="15" customHeight="1" x14ac:dyDescent="0.25">
      <c r="B13" s="24"/>
      <c r="F13" s="25"/>
    </row>
    <row r="17" spans="19:19" x14ac:dyDescent="0.25">
      <c r="S17" s="53" t="s">
        <v>291</v>
      </c>
    </row>
    <row r="26" spans="19:19" x14ac:dyDescent="0.25">
      <c r="S26" s="53" t="s">
        <v>292</v>
      </c>
    </row>
    <row r="33" spans="19:19" x14ac:dyDescent="0.25">
      <c r="S33" s="53" t="s">
        <v>293</v>
      </c>
    </row>
    <row r="49" spans="2:19" ht="18.75" x14ac:dyDescent="0.3">
      <c r="B49" s="62" t="s">
        <v>262</v>
      </c>
    </row>
    <row r="51" spans="2:19" x14ac:dyDescent="0.25">
      <c r="C51" t="s">
        <v>264</v>
      </c>
    </row>
    <row r="53" spans="2:19" x14ac:dyDescent="0.25">
      <c r="D53" t="s">
        <v>267</v>
      </c>
    </row>
    <row r="55" spans="2:19" x14ac:dyDescent="0.25">
      <c r="D55" t="s">
        <v>266</v>
      </c>
    </row>
    <row r="57" spans="2:19" x14ac:dyDescent="0.25">
      <c r="D57" t="s">
        <v>265</v>
      </c>
    </row>
    <row r="59" spans="2:19" x14ac:dyDescent="0.25">
      <c r="D59" t="s">
        <v>273</v>
      </c>
    </row>
    <row r="60" spans="2:19" x14ac:dyDescent="0.25">
      <c r="E60" t="s">
        <v>269</v>
      </c>
    </row>
    <row r="61" spans="2:19" x14ac:dyDescent="0.25">
      <c r="E61" t="s">
        <v>270</v>
      </c>
    </row>
    <row r="62" spans="2:19" x14ac:dyDescent="0.25">
      <c r="E62" t="s">
        <v>272</v>
      </c>
    </row>
    <row r="63" spans="2:19" x14ac:dyDescent="0.25">
      <c r="E63" t="s">
        <v>271</v>
      </c>
      <c r="S63" s="53" t="s">
        <v>294</v>
      </c>
    </row>
    <row r="65" spans="2:19" x14ac:dyDescent="0.25">
      <c r="D65" t="s">
        <v>268</v>
      </c>
    </row>
    <row r="67" spans="2:19" x14ac:dyDescent="0.25">
      <c r="D67" t="s">
        <v>274</v>
      </c>
    </row>
    <row r="69" spans="2:19" x14ac:dyDescent="0.25">
      <c r="C69" t="s">
        <v>275</v>
      </c>
    </row>
    <row r="71" spans="2:19" x14ac:dyDescent="0.25">
      <c r="D71" t="s">
        <v>284</v>
      </c>
    </row>
    <row r="72" spans="2:19" x14ac:dyDescent="0.25">
      <c r="D72" t="s">
        <v>276</v>
      </c>
    </row>
    <row r="73" spans="2:19" x14ac:dyDescent="0.25">
      <c r="D73" t="s">
        <v>285</v>
      </c>
    </row>
    <row r="74" spans="2:19" x14ac:dyDescent="0.25">
      <c r="D74" t="s">
        <v>277</v>
      </c>
      <c r="S74" s="53" t="s">
        <v>295</v>
      </c>
    </row>
    <row r="75" spans="2:19" x14ac:dyDescent="0.25">
      <c r="D75" t="s">
        <v>278</v>
      </c>
    </row>
    <row r="77" spans="2:19" x14ac:dyDescent="0.25">
      <c r="C77" t="s">
        <v>283</v>
      </c>
    </row>
    <row r="79" spans="2:19" ht="18.75" x14ac:dyDescent="0.3">
      <c r="B79" s="62" t="s">
        <v>263</v>
      </c>
    </row>
    <row r="81" spans="3:19" x14ac:dyDescent="0.25">
      <c r="C81" t="s">
        <v>286</v>
      </c>
    </row>
    <row r="82" spans="3:19" x14ac:dyDescent="0.25">
      <c r="D82" t="s">
        <v>279</v>
      </c>
    </row>
    <row r="84" spans="3:19" x14ac:dyDescent="0.25">
      <c r="C84" t="s">
        <v>280</v>
      </c>
    </row>
    <row r="85" spans="3:19" x14ac:dyDescent="0.25">
      <c r="D85" t="s">
        <v>281</v>
      </c>
    </row>
    <row r="87" spans="3:19" x14ac:dyDescent="0.25">
      <c r="C87" t="s">
        <v>287</v>
      </c>
    </row>
    <row r="89" spans="3:19" x14ac:dyDescent="0.25">
      <c r="C89" t="s">
        <v>282</v>
      </c>
    </row>
    <row r="90" spans="3:19" x14ac:dyDescent="0.25">
      <c r="S90" s="53" t="s">
        <v>296</v>
      </c>
    </row>
    <row r="91" spans="3:19" x14ac:dyDescent="0.25">
      <c r="C91" t="s">
        <v>391</v>
      </c>
    </row>
    <row r="92" spans="3:19" x14ac:dyDescent="0.25">
      <c r="D92" t="s">
        <v>396</v>
      </c>
    </row>
    <row r="93" spans="3:19" x14ac:dyDescent="0.25">
      <c r="C93" t="s">
        <v>392</v>
      </c>
    </row>
    <row r="94" spans="3:19" x14ac:dyDescent="0.25">
      <c r="C94" t="s">
        <v>393</v>
      </c>
    </row>
    <row r="95" spans="3:19" x14ac:dyDescent="0.25">
      <c r="C95" t="s">
        <v>394</v>
      </c>
    </row>
    <row r="117" spans="19:19" x14ac:dyDescent="0.25">
      <c r="S117" s="53" t="s">
        <v>297</v>
      </c>
    </row>
    <row r="130" spans="2:30" ht="18.75" x14ac:dyDescent="0.3">
      <c r="B130" s="62" t="s">
        <v>374</v>
      </c>
    </row>
    <row r="132" spans="2:30" x14ac:dyDescent="0.25">
      <c r="C132" t="s">
        <v>375</v>
      </c>
    </row>
    <row r="133" spans="2:30" x14ac:dyDescent="0.25">
      <c r="D133" t="s">
        <v>376</v>
      </c>
    </row>
    <row r="134" spans="2:30" x14ac:dyDescent="0.25">
      <c r="D134" t="s">
        <v>377</v>
      </c>
    </row>
    <row r="135" spans="2:30" ht="15.75" thickBot="1" x14ac:dyDescent="0.3">
      <c r="D135" t="s">
        <v>378</v>
      </c>
    </row>
    <row r="136" spans="2:30" ht="16.5" thickBot="1" x14ac:dyDescent="0.3">
      <c r="D136" t="s">
        <v>395</v>
      </c>
      <c r="R136" s="63" t="s">
        <v>298</v>
      </c>
      <c r="AD136" s="29"/>
    </row>
    <row r="137" spans="2:30" x14ac:dyDescent="0.25">
      <c r="S137" t="s">
        <v>299</v>
      </c>
    </row>
    <row r="139" spans="2:30" x14ac:dyDescent="0.25">
      <c r="S139" s="53" t="s">
        <v>300</v>
      </c>
    </row>
    <row r="145" spans="2:9" x14ac:dyDescent="0.25">
      <c r="C145" t="s">
        <v>379</v>
      </c>
    </row>
    <row r="146" spans="2:9" x14ac:dyDescent="0.25">
      <c r="D146" t="s">
        <v>380</v>
      </c>
    </row>
    <row r="147" spans="2:9" x14ac:dyDescent="0.25">
      <c r="E147" t="s">
        <v>381</v>
      </c>
    </row>
    <row r="148" spans="2:9" x14ac:dyDescent="0.25">
      <c r="F148" t="s">
        <v>382</v>
      </c>
    </row>
    <row r="149" spans="2:9" x14ac:dyDescent="0.25">
      <c r="F149" t="s">
        <v>383</v>
      </c>
    </row>
    <row r="153" spans="2:9" x14ac:dyDescent="0.25">
      <c r="E153" t="s">
        <v>384</v>
      </c>
    </row>
    <row r="154" spans="2:9" x14ac:dyDescent="0.25">
      <c r="F154" t="s">
        <v>385</v>
      </c>
    </row>
    <row r="157" spans="2:9" ht="18.75" x14ac:dyDescent="0.3">
      <c r="B157" s="62" t="s">
        <v>386</v>
      </c>
    </row>
    <row r="158" spans="2:9" ht="15.75" thickBot="1" x14ac:dyDescent="0.3"/>
    <row r="159" spans="2:9" ht="16.5" thickTop="1" thickBot="1" x14ac:dyDescent="0.3">
      <c r="F159" s="94" t="s">
        <v>389</v>
      </c>
      <c r="G159" s="95"/>
      <c r="H159" s="95"/>
      <c r="I159" s="96"/>
    </row>
    <row r="160" spans="2:9" ht="16.5" thickTop="1" thickBot="1" x14ac:dyDescent="0.3">
      <c r="F160" s="66" t="s">
        <v>15</v>
      </c>
      <c r="G160" s="67" t="s">
        <v>387</v>
      </c>
      <c r="H160" s="85" t="s">
        <v>397</v>
      </c>
      <c r="I160" s="68" t="s">
        <v>388</v>
      </c>
    </row>
    <row r="161" spans="6:9" ht="15.75" thickTop="1" x14ac:dyDescent="0.25">
      <c r="F161" s="69" t="s">
        <v>66</v>
      </c>
      <c r="G161" s="70">
        <v>6.8900000000000003E-2</v>
      </c>
      <c r="H161" s="71">
        <f>Do_OP5</f>
        <v>6.9712722910608316E-2</v>
      </c>
      <c r="I161" s="72">
        <f>(G161-H161)/G161</f>
        <v>-1.1795688107522682E-2</v>
      </c>
    </row>
    <row r="162" spans="6:9" x14ac:dyDescent="0.25">
      <c r="F162" s="73" t="s">
        <v>67</v>
      </c>
      <c r="G162" s="74">
        <v>0.1014</v>
      </c>
      <c r="H162" s="75">
        <f>Do_OP6</f>
        <v>0.10306113173616696</v>
      </c>
      <c r="I162" s="76">
        <f t="shared" ref="I162:I163" si="0">(G162-H162)/G162</f>
        <v>-1.6381969784683995E-2</v>
      </c>
    </row>
    <row r="163" spans="6:9" x14ac:dyDescent="0.25">
      <c r="F163" s="73" t="s">
        <v>68</v>
      </c>
      <c r="G163" s="74">
        <v>9.3710000000000002E-2</v>
      </c>
      <c r="H163" s="75">
        <f>Do_OP44</f>
        <v>9.7033802789960613E-2</v>
      </c>
      <c r="I163" s="76">
        <f t="shared" si="0"/>
        <v>-3.546902987899489E-2</v>
      </c>
    </row>
    <row r="164" spans="6:9" x14ac:dyDescent="0.25">
      <c r="F164" s="73" t="s">
        <v>69</v>
      </c>
      <c r="G164" s="74">
        <v>9.3700000000000006E-2</v>
      </c>
      <c r="H164" s="75">
        <f>Do_OP45</f>
        <v>9.7033802789960655E-2</v>
      </c>
      <c r="I164" s="76">
        <f>(G164-H164)/G164</f>
        <v>-3.5579538846965304E-2</v>
      </c>
    </row>
    <row r="165" spans="6:9" ht="15.75" thickBot="1" x14ac:dyDescent="0.3">
      <c r="F165" s="77" t="s">
        <v>70</v>
      </c>
      <c r="G165" s="78">
        <v>7.349E-2</v>
      </c>
      <c r="H165" s="79">
        <f>Do_OP47</f>
        <v>7.4531223431206634E-2</v>
      </c>
      <c r="I165" s="80">
        <f>(G165-H165)/G165</f>
        <v>-1.4168232837210965E-2</v>
      </c>
    </row>
    <row r="166" spans="6:9" ht="16.5" thickTop="1" thickBot="1" x14ac:dyDescent="0.3"/>
    <row r="167" spans="6:9" ht="16.5" thickTop="1" thickBot="1" x14ac:dyDescent="0.3">
      <c r="F167" s="94" t="s">
        <v>390</v>
      </c>
      <c r="G167" s="95"/>
      <c r="H167" s="95"/>
      <c r="I167" s="96"/>
    </row>
    <row r="168" spans="6:9" ht="16.5" thickTop="1" thickBot="1" x14ac:dyDescent="0.3">
      <c r="F168" s="66" t="s">
        <v>15</v>
      </c>
      <c r="G168" s="67" t="s">
        <v>387</v>
      </c>
      <c r="H168" s="85" t="s">
        <v>397</v>
      </c>
      <c r="I168" s="68" t="s">
        <v>388</v>
      </c>
    </row>
    <row r="169" spans="6:9" ht="16.5" thickTop="1" thickBot="1" x14ac:dyDescent="0.3">
      <c r="F169" s="81" t="s">
        <v>41</v>
      </c>
      <c r="G169" s="82">
        <v>1.3729999999999999E-2</v>
      </c>
      <c r="H169" s="83">
        <f>Q_28</f>
        <v>1.3813828739161449E-2</v>
      </c>
      <c r="I169" s="84">
        <f>(G169-H169)/G169</f>
        <v>-6.1055163263984075E-3</v>
      </c>
    </row>
    <row r="170" spans="6:9" ht="15.75" thickTop="1" x14ac:dyDescent="0.25"/>
    <row r="213" spans="18:28" x14ac:dyDescent="0.25">
      <c r="S213" s="53" t="s">
        <v>301</v>
      </c>
    </row>
    <row r="220" spans="18:28" ht="15.75" thickBot="1" x14ac:dyDescent="0.3"/>
    <row r="221" spans="18:28" ht="16.5" thickBot="1" x14ac:dyDescent="0.3">
      <c r="R221" s="63" t="s">
        <v>302</v>
      </c>
      <c r="AB221" s="28"/>
    </row>
    <row r="222" spans="18:28" x14ac:dyDescent="0.25">
      <c r="S222" t="s">
        <v>299</v>
      </c>
    </row>
    <row r="224" spans="18:28" x14ac:dyDescent="0.25">
      <c r="S224" s="53" t="s">
        <v>303</v>
      </c>
    </row>
    <row r="259" spans="19:19" x14ac:dyDescent="0.25">
      <c r="S259" s="53" t="s">
        <v>304</v>
      </c>
    </row>
    <row r="274" spans="18:21" ht="15.75" x14ac:dyDescent="0.25">
      <c r="R274" s="63" t="s">
        <v>305</v>
      </c>
    </row>
    <row r="276" spans="18:21" x14ac:dyDescent="0.25">
      <c r="S276" t="s">
        <v>365</v>
      </c>
    </row>
    <row r="278" spans="18:21" x14ac:dyDescent="0.25">
      <c r="S278" t="s">
        <v>306</v>
      </c>
    </row>
    <row r="279" spans="18:21" x14ac:dyDescent="0.25">
      <c r="T279" t="s">
        <v>368</v>
      </c>
    </row>
    <row r="280" spans="18:21" x14ac:dyDescent="0.25">
      <c r="T280" t="s">
        <v>366</v>
      </c>
    </row>
    <row r="281" spans="18:21" x14ac:dyDescent="0.25">
      <c r="T281" t="s">
        <v>367</v>
      </c>
    </row>
    <row r="282" spans="18:21" x14ac:dyDescent="0.25">
      <c r="T282" t="s">
        <v>369</v>
      </c>
    </row>
    <row r="283" spans="18:21" x14ac:dyDescent="0.25">
      <c r="T283" t="s">
        <v>370</v>
      </c>
    </row>
    <row r="284" spans="18:21" x14ac:dyDescent="0.25">
      <c r="T284" t="s">
        <v>371</v>
      </c>
    </row>
    <row r="286" spans="18:21" x14ac:dyDescent="0.25">
      <c r="S286" t="s">
        <v>372</v>
      </c>
    </row>
    <row r="287" spans="18:21" x14ac:dyDescent="0.25">
      <c r="T287" t="s">
        <v>373</v>
      </c>
    </row>
    <row r="288" spans="18:21" x14ac:dyDescent="0.25">
      <c r="U288" t="s">
        <v>400</v>
      </c>
    </row>
    <row r="313" spans="19:22" x14ac:dyDescent="0.25">
      <c r="S313" t="s">
        <v>364</v>
      </c>
    </row>
    <row r="315" spans="19:22" ht="15.75" thickBot="1" x14ac:dyDescent="0.3">
      <c r="T315" s="86" t="str">
        <f t="shared" ref="T315:T319" si="1">"Do_"&amp;S315</f>
        <v>Do_</v>
      </c>
      <c r="U315" s="87">
        <f>0.1541/2</f>
        <v>7.7049999999999993E-2</v>
      </c>
      <c r="V315" s="88" t="s">
        <v>71</v>
      </c>
    </row>
    <row r="316" spans="19:22" ht="15.75" thickBot="1" x14ac:dyDescent="0.3">
      <c r="T316" s="89" t="str">
        <f t="shared" si="1"/>
        <v>Do_</v>
      </c>
      <c r="U316" s="55">
        <f t="shared" ref="U316:U319" si="2">0.1541/2</f>
        <v>7.7049999999999993E-2</v>
      </c>
      <c r="V316" s="90" t="s">
        <v>71</v>
      </c>
    </row>
    <row r="317" spans="19:22" ht="15.75" thickBot="1" x14ac:dyDescent="0.3">
      <c r="T317" s="89" t="str">
        <f t="shared" si="1"/>
        <v>Do_</v>
      </c>
      <c r="U317" s="55">
        <f t="shared" si="2"/>
        <v>7.7049999999999993E-2</v>
      </c>
      <c r="V317" s="90" t="s">
        <v>71</v>
      </c>
    </row>
    <row r="318" spans="19:22" ht="15.75" thickBot="1" x14ac:dyDescent="0.3">
      <c r="T318" s="89" t="str">
        <f t="shared" si="1"/>
        <v>Do_</v>
      </c>
      <c r="U318" s="55">
        <f t="shared" si="2"/>
        <v>7.7049999999999993E-2</v>
      </c>
      <c r="V318" s="90" t="s">
        <v>71</v>
      </c>
    </row>
    <row r="319" spans="19:22" ht="15.75" thickBot="1" x14ac:dyDescent="0.3">
      <c r="T319" s="89" t="str">
        <f t="shared" si="1"/>
        <v>Do_</v>
      </c>
      <c r="U319" s="55">
        <f t="shared" si="2"/>
        <v>7.7049999999999993E-2</v>
      </c>
      <c r="V319" s="90" t="s">
        <v>71</v>
      </c>
    </row>
    <row r="320" spans="19:22" x14ac:dyDescent="0.25">
      <c r="T320" s="91" t="s">
        <v>72</v>
      </c>
      <c r="U320" s="92">
        <v>0.01</v>
      </c>
      <c r="V320" s="93" t="s">
        <v>0</v>
      </c>
    </row>
    <row r="322" spans="19:20" x14ac:dyDescent="0.25">
      <c r="S322" t="s">
        <v>401</v>
      </c>
    </row>
    <row r="323" spans="19:20" x14ac:dyDescent="0.25">
      <c r="T323" t="s">
        <v>402</v>
      </c>
    </row>
    <row r="324" spans="19:20" x14ac:dyDescent="0.25">
      <c r="T324" t="s">
        <v>403</v>
      </c>
    </row>
    <row r="327" spans="19:20" x14ac:dyDescent="0.25">
      <c r="S327" t="s">
        <v>398</v>
      </c>
    </row>
    <row r="360" spans="19:19" x14ac:dyDescent="0.25">
      <c r="S360" t="s">
        <v>307</v>
      </c>
    </row>
    <row r="383" spans="19:19" x14ac:dyDescent="0.25">
      <c r="S383" t="s">
        <v>308</v>
      </c>
    </row>
    <row r="402" spans="18:20" x14ac:dyDescent="0.25">
      <c r="R402" s="14"/>
      <c r="S402" s="14"/>
      <c r="T402" s="14" t="s">
        <v>399</v>
      </c>
    </row>
    <row r="403" spans="18:20" x14ac:dyDescent="0.25">
      <c r="R403" s="14"/>
      <c r="S403" s="14"/>
      <c r="T403" s="14" t="s">
        <v>309</v>
      </c>
    </row>
  </sheetData>
  <mergeCells count="2">
    <mergeCell ref="F159:I159"/>
    <mergeCell ref="F167:I167"/>
  </mergeCells>
  <phoneticPr fontId="7" type="noConversion"/>
  <hyperlinks>
    <hyperlink ref="B5" r:id="rId1" xr:uid="{A3FCDC69-19F8-4854-B3D0-90446F7E336C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7600D-0081-41CE-9DEA-AD37A3E0C448}">
  <sheetPr codeName="Feuil2"/>
  <dimension ref="A2:AO152"/>
  <sheetViews>
    <sheetView showGridLines="0" tabSelected="1" zoomScale="70" zoomScaleNormal="70" workbookViewId="0"/>
  </sheetViews>
  <sheetFormatPr baseColWidth="10" defaultColWidth="11.42578125" defaultRowHeight="15" x14ac:dyDescent="0.25"/>
  <cols>
    <col min="1" max="1" width="4.7109375" customWidth="1"/>
    <col min="5" max="5" width="11.42578125" customWidth="1"/>
    <col min="12" max="12" width="11.42578125" customWidth="1"/>
    <col min="14" max="14" width="12.42578125" bestFit="1" customWidth="1"/>
    <col min="16" max="16" width="19.7109375" customWidth="1"/>
    <col min="18" max="18" width="7.140625" customWidth="1"/>
    <col min="29" max="29" width="5.5703125" customWidth="1"/>
    <col min="41" max="41" width="21" customWidth="1"/>
  </cols>
  <sheetData>
    <row r="2" spans="1:41" ht="21" x14ac:dyDescent="0.35">
      <c r="E2" s="23" t="s">
        <v>36</v>
      </c>
    </row>
    <row r="3" spans="1:41" ht="21" x14ac:dyDescent="0.35">
      <c r="E3" s="23" t="s">
        <v>259</v>
      </c>
    </row>
    <row r="4" spans="1:41" x14ac:dyDescent="0.25">
      <c r="B4" s="16" t="s">
        <v>115</v>
      </c>
    </row>
    <row r="5" spans="1:41" x14ac:dyDescent="0.25">
      <c r="B5" s="24" t="s">
        <v>113</v>
      </c>
    </row>
    <row r="6" spans="1:41" x14ac:dyDescent="0.25">
      <c r="O6" s="46" t="s">
        <v>16</v>
      </c>
      <c r="P6" s="47"/>
      <c r="Q6" s="47"/>
      <c r="R6" s="47"/>
      <c r="S6" s="16"/>
      <c r="T6" s="16"/>
      <c r="U6" s="17"/>
      <c r="V6" s="56"/>
      <c r="Z6" s="25" t="s">
        <v>105</v>
      </c>
    </row>
    <row r="7" spans="1:41" ht="15.75" thickBot="1" x14ac:dyDescent="0.3">
      <c r="B7" s="25" t="s">
        <v>116</v>
      </c>
      <c r="O7" s="48" t="s">
        <v>17</v>
      </c>
      <c r="P7" s="47"/>
      <c r="Q7" s="47"/>
      <c r="R7" s="47"/>
      <c r="S7" s="16"/>
      <c r="T7" s="16"/>
      <c r="U7" s="17"/>
      <c r="V7" s="56"/>
    </row>
    <row r="8" spans="1:41" ht="15.75" thickBot="1" x14ac:dyDescent="0.3">
      <c r="B8" s="14" t="s">
        <v>7</v>
      </c>
      <c r="D8" s="26"/>
      <c r="O8" s="49" t="s">
        <v>66</v>
      </c>
      <c r="P8" s="50" t="str">
        <f t="shared" ref="P8:P12" si="0">"Do_"&amp;O8</f>
        <v>Do_OP5</v>
      </c>
      <c r="Q8" s="55">
        <v>6.9712722910608316E-2</v>
      </c>
      <c r="R8" s="51" t="s">
        <v>71</v>
      </c>
      <c r="T8" s="16"/>
      <c r="U8" s="17"/>
      <c r="V8" s="56"/>
      <c r="Z8" s="43" t="s">
        <v>246</v>
      </c>
      <c r="AA8" s="44"/>
      <c r="AB8" s="44"/>
    </row>
    <row r="9" spans="1:41" ht="15.75" thickBot="1" x14ac:dyDescent="0.3">
      <c r="B9" s="27" t="s">
        <v>9</v>
      </c>
      <c r="D9" s="28"/>
      <c r="O9" s="49" t="s">
        <v>67</v>
      </c>
      <c r="P9" s="50" t="str">
        <f t="shared" si="0"/>
        <v>Do_OP6</v>
      </c>
      <c r="Q9" s="55">
        <v>0.10306113173616696</v>
      </c>
      <c r="R9" s="51" t="s">
        <v>71</v>
      </c>
      <c r="T9" s="16"/>
      <c r="U9" s="17"/>
      <c r="V9" s="56"/>
      <c r="Z9" s="34" t="s">
        <v>52</v>
      </c>
      <c r="AA9" s="32" t="s">
        <v>126</v>
      </c>
      <c r="AB9" s="45">
        <f>_xll.PressureLoss_k_Qv_D_Rho(K_HE11,Q_11,D_HE11,Rho)</f>
        <v>56.245269775390625</v>
      </c>
      <c r="AC9" s="30" t="s">
        <v>5</v>
      </c>
      <c r="AD9" s="31" t="s">
        <v>252</v>
      </c>
    </row>
    <row r="10" spans="1:41" ht="15.75" thickBot="1" x14ac:dyDescent="0.3">
      <c r="B10" s="27" t="s">
        <v>8</v>
      </c>
      <c r="D10" s="29"/>
      <c r="L10" s="3"/>
      <c r="O10" s="49" t="s">
        <v>68</v>
      </c>
      <c r="P10" s="50" t="str">
        <f t="shared" si="0"/>
        <v>Do_OP44</v>
      </c>
      <c r="Q10" s="55">
        <v>9.7033802789960613E-2</v>
      </c>
      <c r="R10" s="51" t="s">
        <v>71</v>
      </c>
      <c r="T10" s="16"/>
      <c r="U10" s="17"/>
      <c r="V10" s="56"/>
      <c r="Z10" s="34" t="s">
        <v>53</v>
      </c>
      <c r="AA10" s="32" t="s">
        <v>127</v>
      </c>
      <c r="AB10" s="45">
        <f>_xll.PressureLoss_k_Qv_D_Rho(K_HE12,Q_12,D_HE12,Rho)</f>
        <v>56.245269775390625</v>
      </c>
      <c r="AC10" s="30" t="s">
        <v>5</v>
      </c>
      <c r="AD10" s="31" t="s">
        <v>253</v>
      </c>
      <c r="AO10" s="8"/>
    </row>
    <row r="11" spans="1:41" ht="15.75" thickBot="1" x14ac:dyDescent="0.3">
      <c r="B11" s="4" t="s">
        <v>11</v>
      </c>
      <c r="O11" s="49" t="s">
        <v>69</v>
      </c>
      <c r="P11" s="50" t="str">
        <f t="shared" si="0"/>
        <v>Do_OP45</v>
      </c>
      <c r="Q11" s="55">
        <v>9.7033802789960655E-2</v>
      </c>
      <c r="R11" s="51" t="s">
        <v>71</v>
      </c>
      <c r="T11" s="16"/>
      <c r="U11" s="17"/>
      <c r="V11" s="56"/>
      <c r="Z11" s="34" t="s">
        <v>54</v>
      </c>
      <c r="AA11" s="32" t="s">
        <v>128</v>
      </c>
      <c r="AB11" s="45">
        <f>_xll.PressureLoss_k_Qv_D_Rho(K_HE20,Q_20,D_HE20,Rho)</f>
        <v>92.976860046386719</v>
      </c>
      <c r="AC11" s="30" t="s">
        <v>5</v>
      </c>
      <c r="AD11" s="31" t="s">
        <v>254</v>
      </c>
      <c r="AO11" s="9"/>
    </row>
    <row r="12" spans="1:41" ht="15.75" thickBot="1" x14ac:dyDescent="0.3">
      <c r="B12" s="30" t="s">
        <v>117</v>
      </c>
      <c r="O12" s="49" t="s">
        <v>70</v>
      </c>
      <c r="P12" s="50" t="str">
        <f t="shared" si="0"/>
        <v>Do_OP47</v>
      </c>
      <c r="Q12" s="55">
        <v>7.4531223431206634E-2</v>
      </c>
      <c r="R12" s="51" t="s">
        <v>71</v>
      </c>
      <c r="T12" s="16"/>
      <c r="U12" s="17"/>
      <c r="V12" s="56"/>
      <c r="Z12" s="34" t="s">
        <v>55</v>
      </c>
      <c r="AA12" s="32" t="s">
        <v>129</v>
      </c>
      <c r="AB12" s="45">
        <f>_xll.PressureLoss_k_Qv_D_Rho(K_HE21,Q_21,D_HE21,Rho)</f>
        <v>92.976860046386719</v>
      </c>
      <c r="AC12" s="30" t="s">
        <v>5</v>
      </c>
      <c r="AD12" s="31" t="s">
        <v>255</v>
      </c>
      <c r="AO12" s="9"/>
    </row>
    <row r="13" spans="1:41" ht="15.75" thickBot="1" x14ac:dyDescent="0.3">
      <c r="A13" s="2"/>
      <c r="B13" s="31" t="s">
        <v>118</v>
      </c>
      <c r="O13" s="49" t="s">
        <v>41</v>
      </c>
      <c r="P13" s="50" t="s">
        <v>72</v>
      </c>
      <c r="Q13" s="55">
        <v>1.3813828739161449E-2</v>
      </c>
      <c r="R13" s="51" t="s">
        <v>0</v>
      </c>
      <c r="T13" s="16"/>
      <c r="U13" s="17"/>
      <c r="V13" s="56"/>
      <c r="Z13" s="34" t="s">
        <v>56</v>
      </c>
      <c r="AA13" s="32" t="s">
        <v>130</v>
      </c>
      <c r="AB13" s="45">
        <f>_xll.PressureLoss_k_Qv_D_Rho(K_HE31,Q_31,D_HE31,Rho)</f>
        <v>64.567268371582031</v>
      </c>
      <c r="AC13" s="30" t="s">
        <v>5</v>
      </c>
      <c r="AD13" s="31" t="s">
        <v>256</v>
      </c>
      <c r="AO13" s="9"/>
    </row>
    <row r="14" spans="1:41" ht="15.75" thickBot="1" x14ac:dyDescent="0.3">
      <c r="A14" s="2"/>
      <c r="B14" s="4"/>
      <c r="O14" s="46" t="s">
        <v>10</v>
      </c>
      <c r="P14" s="47"/>
      <c r="Q14" s="47"/>
      <c r="R14" s="47"/>
      <c r="S14" s="16"/>
      <c r="T14" s="16"/>
      <c r="U14" s="16"/>
      <c r="V14" s="56"/>
      <c r="Z14" s="5"/>
      <c r="AA14" s="6"/>
      <c r="AB14" s="11"/>
      <c r="AD14" s="31"/>
      <c r="AO14" s="9"/>
    </row>
    <row r="15" spans="1:41" ht="15.75" thickBot="1" x14ac:dyDescent="0.3">
      <c r="A15" s="2"/>
      <c r="B15" s="25" t="s">
        <v>12</v>
      </c>
      <c r="O15" s="52" t="s">
        <v>224</v>
      </c>
      <c r="P15" s="47"/>
      <c r="Q15" s="58">
        <f xml:space="preserve"> P_n30_R37 - P_n30_n1</f>
        <v>3.10516357421875E-3</v>
      </c>
      <c r="R15" s="51" t="s">
        <v>5</v>
      </c>
      <c r="S15" s="59" t="s">
        <v>240</v>
      </c>
      <c r="U15" s="16"/>
      <c r="V15" s="56"/>
      <c r="Z15" s="43" t="s">
        <v>247</v>
      </c>
      <c r="AA15" s="43"/>
      <c r="AB15" s="43"/>
      <c r="AD15" s="31"/>
      <c r="AO15" s="9"/>
    </row>
    <row r="16" spans="1:41" ht="15.75" thickBot="1" x14ac:dyDescent="0.3">
      <c r="B16" s="14" t="s">
        <v>6</v>
      </c>
      <c r="D16" s="32" t="s">
        <v>13</v>
      </c>
      <c r="E16" s="26">
        <v>0</v>
      </c>
      <c r="O16" s="52" t="s">
        <v>225</v>
      </c>
      <c r="P16" s="47"/>
      <c r="Q16" s="58">
        <f xml:space="preserve"> P_n43_n38 - P_n43_n39</f>
        <v>0</v>
      </c>
      <c r="R16" s="51" t="s">
        <v>5</v>
      </c>
      <c r="S16" s="59" t="s">
        <v>241</v>
      </c>
      <c r="U16" s="16"/>
      <c r="V16" s="56"/>
      <c r="Z16" s="34" t="s">
        <v>66</v>
      </c>
      <c r="AA16" s="32" t="s">
        <v>131</v>
      </c>
      <c r="AB16" s="45">
        <f>_xll.OrificeSharpEdgedCircularCrossSection_dP(Dpi_OP5,Do_OP5,Q_11,Rho,Nu,2,Cd,Z16)</f>
        <v>13516.2724609375</v>
      </c>
      <c r="AC16" s="30" t="s">
        <v>5</v>
      </c>
      <c r="AD16" s="31" t="s">
        <v>315</v>
      </c>
      <c r="AO16" s="9"/>
    </row>
    <row r="17" spans="2:41" ht="15.75" thickBot="1" x14ac:dyDescent="0.3">
      <c r="O17" s="52" t="s">
        <v>226</v>
      </c>
      <c r="P17" s="47"/>
      <c r="Q17" s="58">
        <f xml:space="preserve"> P_n54_n50 - P_n54_n28</f>
        <v>0.2066650390625</v>
      </c>
      <c r="R17" s="51" t="s">
        <v>5</v>
      </c>
      <c r="S17" s="59" t="s">
        <v>242</v>
      </c>
      <c r="V17" s="56"/>
      <c r="Z17" s="34" t="s">
        <v>67</v>
      </c>
      <c r="AA17" s="32" t="s">
        <v>132</v>
      </c>
      <c r="AB17" s="45">
        <f>_xll.OrificeSharpEdgedCircularCrossSection_dP(Dpi_OP6,Do_OP6,Q_12,Rho,Nu,2,Cd,Z17)</f>
        <v>1767.50927734375</v>
      </c>
      <c r="AC17" s="30" t="s">
        <v>5</v>
      </c>
      <c r="AD17" s="31" t="s">
        <v>316</v>
      </c>
      <c r="AO17" s="9"/>
    </row>
    <row r="18" spans="2:41" ht="15.75" thickBot="1" x14ac:dyDescent="0.3">
      <c r="B18" s="25" t="s">
        <v>37</v>
      </c>
      <c r="O18" s="52" t="s">
        <v>227</v>
      </c>
      <c r="P18" s="47"/>
      <c r="Q18" s="58">
        <f xml:space="preserve"> P_n51_n47 - P_n51_n48</f>
        <v>1.800537109375E-3</v>
      </c>
      <c r="R18" s="51" t="s">
        <v>5</v>
      </c>
      <c r="S18" s="59" t="s">
        <v>243</v>
      </c>
      <c r="V18" s="56"/>
      <c r="Z18" s="34" t="s">
        <v>68</v>
      </c>
      <c r="AA18" s="32" t="s">
        <v>133</v>
      </c>
      <c r="AB18" s="45">
        <f>_xll.OrificeSharpEdgedCircularCrossSection_dP(Dpi_OP44,Do_OP44,Q_20,Rho,Nu,2,Cd,Z18)</f>
        <v>4171.7216796875</v>
      </c>
      <c r="AC18" s="30" t="s">
        <v>5</v>
      </c>
      <c r="AD18" s="31" t="s">
        <v>317</v>
      </c>
      <c r="AO18" s="9"/>
    </row>
    <row r="19" spans="2:41" ht="15.75" thickBot="1" x14ac:dyDescent="0.3">
      <c r="B19" s="14" t="s">
        <v>1</v>
      </c>
      <c r="C19" s="20"/>
      <c r="D19" s="32" t="s">
        <v>99</v>
      </c>
      <c r="E19" s="26">
        <v>998.20609999999999</v>
      </c>
      <c r="F19" s="30" t="s">
        <v>2</v>
      </c>
      <c r="O19" s="52" t="s">
        <v>228</v>
      </c>
      <c r="P19" s="47"/>
      <c r="Q19" s="58">
        <f xml:space="preserve"> P_n53_n29 - P_n53_n55</f>
        <v>-2.4013519287109375E-3</v>
      </c>
      <c r="R19" s="51" t="s">
        <v>5</v>
      </c>
      <c r="S19" s="59" t="s">
        <v>244</v>
      </c>
      <c r="V19" s="56"/>
      <c r="Z19" s="34" t="s">
        <v>69</v>
      </c>
      <c r="AA19" s="32" t="s">
        <v>134</v>
      </c>
      <c r="AB19" s="45">
        <f>_xll.OrificeSharpEdgedCircularCrossSection_dP(Dpi_OP45,Do_OP45,Q_21,Rho,Nu,2,Cd,Z19)</f>
        <v>4171.7216796875</v>
      </c>
      <c r="AC19" s="30" t="s">
        <v>5</v>
      </c>
      <c r="AD19" s="31" t="s">
        <v>318</v>
      </c>
      <c r="AO19" s="9"/>
    </row>
    <row r="20" spans="2:41" ht="15.75" thickBot="1" x14ac:dyDescent="0.3">
      <c r="B20" s="14" t="s">
        <v>3</v>
      </c>
      <c r="C20" s="18"/>
      <c r="D20" s="19" t="s">
        <v>100</v>
      </c>
      <c r="E20" s="57">
        <v>1.0034E-6</v>
      </c>
      <c r="F20" s="30" t="s">
        <v>4</v>
      </c>
      <c r="O20" s="52" t="s">
        <v>229</v>
      </c>
      <c r="P20" s="47"/>
      <c r="Q20" s="58">
        <f xml:space="preserve"> P_n23_n58 - P_n23_n59</f>
        <v>-8.907318115234375E-4</v>
      </c>
      <c r="R20" s="51" t="s">
        <v>5</v>
      </c>
      <c r="S20" s="59" t="s">
        <v>245</v>
      </c>
      <c r="V20" s="56"/>
      <c r="Z20" s="34" t="s">
        <v>70</v>
      </c>
      <c r="AA20" s="32" t="s">
        <v>135</v>
      </c>
      <c r="AB20" s="45">
        <f>_xll.OrificeSharpEdgedCircularCrossSection_dP(Dpi_OP47,Do_OP47,Q_31,Rho,Nu,2,Cd,Z20)</f>
        <v>11310.8837890625</v>
      </c>
      <c r="AC20" s="30" t="s">
        <v>5</v>
      </c>
      <c r="AD20" s="31" t="s">
        <v>319</v>
      </c>
      <c r="AO20" s="9"/>
    </row>
    <row r="21" spans="2:41" x14ac:dyDescent="0.25">
      <c r="O21" s="52" t="s">
        <v>310</v>
      </c>
      <c r="P21" s="47"/>
      <c r="Q21" s="65"/>
      <c r="R21" s="51"/>
      <c r="S21" s="59"/>
      <c r="V21" s="56"/>
      <c r="Z21" s="5"/>
      <c r="AA21" s="6"/>
      <c r="AB21" s="11"/>
      <c r="AD21" s="31"/>
      <c r="AO21" s="9"/>
    </row>
    <row r="22" spans="2:41" ht="15.75" thickBot="1" x14ac:dyDescent="0.3">
      <c r="B22" s="25" t="s">
        <v>190</v>
      </c>
      <c r="O22" s="52" t="s">
        <v>311</v>
      </c>
      <c r="P22" s="47"/>
      <c r="Q22" s="65"/>
      <c r="R22" s="51"/>
      <c r="S22" s="59"/>
      <c r="V22" s="56"/>
      <c r="Z22" s="43" t="s">
        <v>248</v>
      </c>
      <c r="AA22" s="43"/>
      <c r="AB22" s="43"/>
      <c r="AD22" s="31"/>
      <c r="AO22" s="9"/>
    </row>
    <row r="23" spans="2:41" ht="15.75" thickBot="1" x14ac:dyDescent="0.3">
      <c r="B23" s="1"/>
      <c r="C23" s="18"/>
      <c r="D23" s="32" t="s">
        <v>58</v>
      </c>
      <c r="E23" s="40">
        <v>1.4E-2</v>
      </c>
      <c r="F23" s="30" t="s">
        <v>0</v>
      </c>
      <c r="O23" s="52" t="s">
        <v>312</v>
      </c>
      <c r="P23" s="47"/>
      <c r="Q23" s="65"/>
      <c r="R23" s="51"/>
      <c r="S23" s="59"/>
      <c r="V23" s="56"/>
      <c r="Z23" s="34" t="s">
        <v>26</v>
      </c>
      <c r="AA23" s="32" t="s">
        <v>136</v>
      </c>
      <c r="AB23" s="45">
        <f>_xll.PipeStraightCircularCrossSection_dP(D_P7,L_P7,Q_36,Rho,Nu,5,e_P7,,,Cd,Z23)</f>
        <v>22305.61328125</v>
      </c>
      <c r="AC23" s="30" t="s">
        <v>5</v>
      </c>
      <c r="AD23" s="31" t="s">
        <v>320</v>
      </c>
      <c r="AL23" s="20"/>
      <c r="AM23" s="20"/>
      <c r="AO23" s="9"/>
    </row>
    <row r="24" spans="2:41" ht="15.75" thickBot="1" x14ac:dyDescent="0.3">
      <c r="D24" s="32" t="s">
        <v>59</v>
      </c>
      <c r="E24" s="40">
        <v>1.4E-2</v>
      </c>
      <c r="F24" s="30" t="s">
        <v>0</v>
      </c>
      <c r="O24" s="52" t="s">
        <v>313</v>
      </c>
      <c r="P24" s="47"/>
      <c r="Q24" s="65"/>
      <c r="R24" s="51"/>
      <c r="S24" s="59"/>
      <c r="V24" s="56"/>
      <c r="Z24" s="34" t="s">
        <v>25</v>
      </c>
      <c r="AA24" s="32" t="s">
        <v>137</v>
      </c>
      <c r="AB24" s="45">
        <f>_xll.PipeStraightCircularCrossSection_dP(D_P8,L_P8,Q_36,Rho,Nu,5,e_P8,,,Cd,Z24)</f>
        <v>31227.85546875</v>
      </c>
      <c r="AC24" s="30" t="s">
        <v>5</v>
      </c>
      <c r="AD24" s="31" t="s">
        <v>321</v>
      </c>
      <c r="AL24" s="20"/>
      <c r="AM24" s="20"/>
      <c r="AO24" s="9"/>
    </row>
    <row r="25" spans="2:41" ht="15.75" thickBot="1" x14ac:dyDescent="0.3">
      <c r="D25" s="32" t="s">
        <v>60</v>
      </c>
      <c r="E25" s="40">
        <v>1.7999999999999999E-2</v>
      </c>
      <c r="F25" s="30" t="s">
        <v>0</v>
      </c>
      <c r="O25" s="52" t="s">
        <v>314</v>
      </c>
      <c r="P25" s="47"/>
      <c r="Q25" s="65"/>
      <c r="R25" s="51"/>
      <c r="S25" s="59"/>
      <c r="V25" s="56"/>
      <c r="Z25" s="34" t="s">
        <v>24</v>
      </c>
      <c r="AA25" s="32" t="s">
        <v>138</v>
      </c>
      <c r="AB25" s="45">
        <f>_xll.PipeStraightCircularCrossSection_dP(D_P9,L_P9,Q_36,Rho,Nu,5,e_P9,,,Cd,Z25)</f>
        <v>26766.736328125</v>
      </c>
      <c r="AC25" s="30" t="s">
        <v>5</v>
      </c>
      <c r="AD25" s="31" t="s">
        <v>322</v>
      </c>
      <c r="AL25" s="20"/>
      <c r="AM25" s="20"/>
      <c r="AO25" s="9"/>
    </row>
    <row r="26" spans="2:41" ht="15.75" thickBot="1" x14ac:dyDescent="0.3">
      <c r="B26" s="1"/>
      <c r="D26" s="32" t="s">
        <v>61</v>
      </c>
      <c r="E26" s="40">
        <v>1.7999999999999999E-2</v>
      </c>
      <c r="F26" s="30" t="s">
        <v>0</v>
      </c>
      <c r="V26" s="56"/>
      <c r="Z26" s="34" t="s">
        <v>29</v>
      </c>
      <c r="AA26" s="32" t="s">
        <v>139</v>
      </c>
      <c r="AB26" s="45">
        <f>_xll.PipeStraightCircularCrossSection_dP(D_P10,L_P10,Q_12,Rho,Nu,5,e_P10,,,Cd,Z26)</f>
        <v>1097.90869140625</v>
      </c>
      <c r="AC26" s="30" t="s">
        <v>5</v>
      </c>
      <c r="AD26" s="31" t="s">
        <v>323</v>
      </c>
      <c r="AL26" s="20"/>
      <c r="AM26" s="20"/>
      <c r="AO26" s="9"/>
    </row>
    <row r="27" spans="2:41" ht="15.75" thickBot="1" x14ac:dyDescent="0.3">
      <c r="D27" s="32" t="s">
        <v>62</v>
      </c>
      <c r="E27" s="40">
        <v>1.4999999999999999E-2</v>
      </c>
      <c r="F27" s="30" t="s">
        <v>0</v>
      </c>
      <c r="V27" s="56"/>
      <c r="Z27" s="34" t="s">
        <v>27</v>
      </c>
      <c r="AA27" s="32" t="s">
        <v>140</v>
      </c>
      <c r="AB27" s="45">
        <f>_xll.PipeStraightCircularCrossSection_dP(D_P13,L_P13,Q_11,Rho,Nu,5,e_P13,,,Cd,Z27)</f>
        <v>1537.0721435546875</v>
      </c>
      <c r="AC27" s="30" t="s">
        <v>5</v>
      </c>
      <c r="AD27" s="31" t="s">
        <v>324</v>
      </c>
      <c r="AL27" s="20"/>
      <c r="AM27" s="20"/>
      <c r="AO27" s="9"/>
    </row>
    <row r="28" spans="2:41" ht="15.75" thickBot="1" x14ac:dyDescent="0.3">
      <c r="F28" s="14"/>
      <c r="O28" s="53" t="s">
        <v>182</v>
      </c>
      <c r="V28" s="56"/>
      <c r="Z28" s="34" t="s">
        <v>33</v>
      </c>
      <c r="AA28" s="32" t="s">
        <v>141</v>
      </c>
      <c r="AB28" s="45">
        <f>_xll.PipeStraightCircularCrossSection_dP(D_P15,L_P15,Q_21,Rho,Nu,5,e_P15,,,Cd,Z28)</f>
        <v>357.60748291015625</v>
      </c>
      <c r="AC28" s="30" t="s">
        <v>5</v>
      </c>
      <c r="AD28" s="31" t="s">
        <v>325</v>
      </c>
      <c r="AL28" s="20"/>
      <c r="AM28" s="20"/>
      <c r="AO28" s="9"/>
    </row>
    <row r="29" spans="2:41" ht="15.75" thickBot="1" x14ac:dyDescent="0.3">
      <c r="B29" s="25" t="s">
        <v>101</v>
      </c>
      <c r="O29" s="54"/>
      <c r="P29" s="32" t="s">
        <v>95</v>
      </c>
      <c r="Q29" s="55">
        <f xml:space="preserve"> Q_11 + Q_20 + Q_21 + Q_31</f>
        <v>6.5000000000000002E-2</v>
      </c>
      <c r="R29" s="30" t="s">
        <v>0</v>
      </c>
      <c r="S29" s="31" t="s">
        <v>183</v>
      </c>
      <c r="V29" s="56"/>
      <c r="Z29" s="34" t="s">
        <v>34</v>
      </c>
      <c r="AA29" s="32" t="s">
        <v>142</v>
      </c>
      <c r="AB29" s="45">
        <f>_xll.PipeStraightCircularCrossSection_dP(D_P16,L_P16,Q_20,Rho,Nu,5,e_P16,,,Cd,Z29)</f>
        <v>357.60748291015625</v>
      </c>
      <c r="AC29" s="30" t="s">
        <v>5</v>
      </c>
      <c r="AD29" s="31" t="s">
        <v>326</v>
      </c>
      <c r="AL29" s="20"/>
      <c r="AM29" s="20"/>
      <c r="AO29" s="9"/>
    </row>
    <row r="30" spans="2:41" ht="15.75" thickBot="1" x14ac:dyDescent="0.3">
      <c r="B30" s="14" t="s">
        <v>96</v>
      </c>
      <c r="C30" s="20"/>
      <c r="D30" s="32" t="s">
        <v>102</v>
      </c>
      <c r="E30" s="26">
        <v>1</v>
      </c>
      <c r="F30" s="30" t="s">
        <v>71</v>
      </c>
      <c r="O30" s="54"/>
      <c r="P30" s="32" t="s">
        <v>74</v>
      </c>
      <c r="Q30" s="55">
        <f xml:space="preserve"> Q_21 + Q_20</f>
        <v>3.5999999999999997E-2</v>
      </c>
      <c r="R30" s="30" t="s">
        <v>0</v>
      </c>
      <c r="S30" s="31" t="s">
        <v>184</v>
      </c>
      <c r="V30" s="56"/>
      <c r="Z30" s="34" t="s">
        <v>35</v>
      </c>
      <c r="AA30" s="32" t="s">
        <v>143</v>
      </c>
      <c r="AB30" s="45">
        <f>_xll.PipeStraightCircularCrossSection_dP(D_P17,L_P17,Q_21,Rho,Nu,5,e_P17,,,Cd,Z30)</f>
        <v>357.60748291015625</v>
      </c>
      <c r="AC30" s="30" t="s">
        <v>5</v>
      </c>
      <c r="AD30" s="31" t="s">
        <v>327</v>
      </c>
      <c r="AL30" s="20"/>
      <c r="AM30" s="20"/>
      <c r="AO30" s="9"/>
    </row>
    <row r="31" spans="2:41" ht="15.75" thickBot="1" x14ac:dyDescent="0.3">
      <c r="B31" s="14" t="s">
        <v>97</v>
      </c>
      <c r="C31" s="18"/>
      <c r="D31" s="19" t="s">
        <v>103</v>
      </c>
      <c r="E31" s="33">
        <v>0</v>
      </c>
      <c r="F31" s="30" t="s">
        <v>71</v>
      </c>
      <c r="O31" s="54"/>
      <c r="P31" s="32" t="s">
        <v>73</v>
      </c>
      <c r="Q31" s="55">
        <f xml:space="preserve"> Q_36 - Q_42</f>
        <v>2.9000000000000005E-2</v>
      </c>
      <c r="R31" s="30" t="s">
        <v>0</v>
      </c>
      <c r="S31" s="31" t="s">
        <v>185</v>
      </c>
      <c r="V31" s="56"/>
      <c r="Z31" s="34" t="s">
        <v>30</v>
      </c>
      <c r="AA31" s="32" t="s">
        <v>144</v>
      </c>
      <c r="AB31" s="45">
        <f>_xll.PipeStraightCircularCrossSection_dP(D_P18,L_P18,Q_20,Rho,Nu,5,e_P18,,,Cd,Z31)</f>
        <v>357.60748291015625</v>
      </c>
      <c r="AC31" s="30" t="s">
        <v>5</v>
      </c>
      <c r="AD31" s="31" t="s">
        <v>328</v>
      </c>
      <c r="AL31" s="20"/>
      <c r="AM31" s="20"/>
      <c r="AO31" s="9"/>
    </row>
    <row r="32" spans="2:41" ht="15.75" thickBot="1" x14ac:dyDescent="0.3">
      <c r="B32" s="14" t="s">
        <v>98</v>
      </c>
      <c r="C32" s="18"/>
      <c r="D32" s="19" t="s">
        <v>104</v>
      </c>
      <c r="E32" s="33">
        <v>100000</v>
      </c>
      <c r="F32" s="30" t="s">
        <v>5</v>
      </c>
      <c r="O32" s="54"/>
      <c r="P32" s="32" t="s">
        <v>78</v>
      </c>
      <c r="Q32" s="55">
        <f xml:space="preserve"> Q_21 + Q_20</f>
        <v>3.5999999999999997E-2</v>
      </c>
      <c r="R32" s="30" t="s">
        <v>0</v>
      </c>
      <c r="S32" s="31" t="s">
        <v>184</v>
      </c>
      <c r="V32" s="56"/>
      <c r="Z32" s="34" t="s">
        <v>31</v>
      </c>
      <c r="AA32" s="32" t="s">
        <v>145</v>
      </c>
      <c r="AB32" s="45">
        <f>_xll.PipeStraightCircularCrossSection_dP(D_P19,L_P19,Q_19,Rho,Nu,5,e_P19,,,Cd,Z32)</f>
        <v>2778.252197265625</v>
      </c>
      <c r="AC32" s="30" t="s">
        <v>5</v>
      </c>
      <c r="AD32" s="31" t="s">
        <v>329</v>
      </c>
      <c r="AL32" s="20"/>
      <c r="AM32" s="20"/>
      <c r="AO32" s="9"/>
    </row>
    <row r="33" spans="2:41" ht="15.75" thickBot="1" x14ac:dyDescent="0.3">
      <c r="O33" s="54"/>
      <c r="P33" s="32" t="s">
        <v>77</v>
      </c>
      <c r="Q33" s="55">
        <f xml:space="preserve"> Q_12 + Q_28</f>
        <v>2.781382873916145E-2</v>
      </c>
      <c r="R33" s="30" t="s">
        <v>0</v>
      </c>
      <c r="S33" s="31" t="s">
        <v>186</v>
      </c>
      <c r="V33" s="56"/>
      <c r="Z33" s="34" t="s">
        <v>32</v>
      </c>
      <c r="AA33" s="32" t="s">
        <v>146</v>
      </c>
      <c r="AB33" s="45">
        <f>_xll.PipeStraightCircularCrossSection_dP(D_P22,L_P22,Q_12,Rho,Nu,5,e_P22,,,Cd,Z33)</f>
        <v>1097.90869140625</v>
      </c>
      <c r="AC33" s="30" t="s">
        <v>5</v>
      </c>
      <c r="AD33" s="31" t="s">
        <v>330</v>
      </c>
      <c r="AL33" s="20"/>
      <c r="AM33" s="20"/>
      <c r="AO33" s="9"/>
    </row>
    <row r="34" spans="2:41" ht="15.75" thickBot="1" x14ac:dyDescent="0.3">
      <c r="B34" s="25" t="s">
        <v>14</v>
      </c>
      <c r="O34" s="54"/>
      <c r="P34" s="32" t="s">
        <v>80</v>
      </c>
      <c r="Q34" s="55">
        <f xml:space="preserve"> Q_12 + Q_28</f>
        <v>2.781382873916145E-2</v>
      </c>
      <c r="R34" s="30" t="s">
        <v>0</v>
      </c>
      <c r="S34" s="31" t="s">
        <v>186</v>
      </c>
      <c r="V34" s="56"/>
      <c r="Z34" s="34" t="s">
        <v>38</v>
      </c>
      <c r="AA34" s="32" t="s">
        <v>147</v>
      </c>
      <c r="AB34" s="45">
        <f>_xll.PipeStraightCircularCrossSection_dP(D_P25,L_P25,Q_11,Rho,Nu,5,e_P25,,,Cd,Z34)</f>
        <v>658.74517822265625</v>
      </c>
      <c r="AC34" s="30" t="s">
        <v>5</v>
      </c>
      <c r="AD34" s="31" t="s">
        <v>331</v>
      </c>
      <c r="AL34" s="20"/>
      <c r="AM34" s="20"/>
      <c r="AO34" s="9"/>
    </row>
    <row r="35" spans="2:41" ht="15.75" thickBot="1" x14ac:dyDescent="0.3">
      <c r="B35" s="34" t="s">
        <v>15</v>
      </c>
      <c r="C35" s="97" t="s">
        <v>119</v>
      </c>
      <c r="D35" s="97"/>
      <c r="E35" s="97" t="s">
        <v>120</v>
      </c>
      <c r="F35" s="97"/>
      <c r="G35" s="97" t="s">
        <v>121</v>
      </c>
      <c r="H35" s="97"/>
      <c r="O35" s="54"/>
      <c r="P35" s="32" t="s">
        <v>75</v>
      </c>
      <c r="Q35" s="55">
        <f xml:space="preserve"> Q_26 - Q_11</f>
        <v>1.3813828739161449E-2</v>
      </c>
      <c r="R35" s="30" t="s">
        <v>0</v>
      </c>
      <c r="S35" s="31" t="s">
        <v>187</v>
      </c>
      <c r="V35" s="56"/>
      <c r="Z35" s="34" t="s">
        <v>39</v>
      </c>
      <c r="AA35" s="32" t="s">
        <v>148</v>
      </c>
      <c r="AB35" s="45">
        <f>_xll.PipeStraightCircularCrossSection_dP(D_P26,L_P26,Q_26,Rho,Nu,5,e_P26,,,Cd,Z35)</f>
        <v>1673.625732421875</v>
      </c>
      <c r="AC35" s="30" t="s">
        <v>5</v>
      </c>
      <c r="AD35" s="31" t="s">
        <v>332</v>
      </c>
      <c r="AL35" s="20"/>
      <c r="AM35" s="20"/>
      <c r="AO35" s="9"/>
    </row>
    <row r="36" spans="2:41" ht="15.75" thickBot="1" x14ac:dyDescent="0.3">
      <c r="B36" s="34" t="s">
        <v>26</v>
      </c>
      <c r="C36" s="32" t="str">
        <f t="shared" ref="C36" si="1">"D_"&amp;B36</f>
        <v>D_P7</v>
      </c>
      <c r="D36" s="26">
        <v>0.15409999999999999</v>
      </c>
      <c r="E36" s="32" t="str">
        <f>"L_"&amp;B36</f>
        <v>L_P7</v>
      </c>
      <c r="F36" s="26">
        <v>25</v>
      </c>
      <c r="G36" s="32" t="str">
        <f>"e_"&amp;B36</f>
        <v>e_P7</v>
      </c>
      <c r="H36" s="35">
        <v>2.5000000000000001E-4</v>
      </c>
      <c r="O36" s="54"/>
      <c r="P36" s="32" t="s">
        <v>76</v>
      </c>
      <c r="Q36" s="55">
        <f xml:space="preserve"> Q_31 - Q_33</f>
        <v>1.1861712608385502E-3</v>
      </c>
      <c r="R36" s="30" t="s">
        <v>0</v>
      </c>
      <c r="S36" s="31" t="s">
        <v>188</v>
      </c>
      <c r="V36" s="56"/>
      <c r="Z36" s="34" t="s">
        <v>40</v>
      </c>
      <c r="AA36" s="32" t="s">
        <v>149</v>
      </c>
      <c r="AB36" s="45">
        <f>_xll.PipeStraightCircularCrossSection_dP(D_P27,L_P27,Q_27,Rho,Nu,5,e_P27,,,Cd,Z36)</f>
        <v>1673.625732421875</v>
      </c>
      <c r="AC36" s="30" t="s">
        <v>5</v>
      </c>
      <c r="AD36" s="31" t="s">
        <v>333</v>
      </c>
      <c r="AF36" s="9"/>
      <c r="AL36" s="20"/>
      <c r="AM36" s="20"/>
      <c r="AO36" s="9"/>
    </row>
    <row r="37" spans="2:41" ht="15.75" thickBot="1" x14ac:dyDescent="0.3">
      <c r="B37" s="34" t="s">
        <v>25</v>
      </c>
      <c r="C37" s="32" t="str">
        <f t="shared" ref="C37:C59" si="2">"D_"&amp;B37</f>
        <v>D_P8</v>
      </c>
      <c r="D37" s="26">
        <v>0.15409999999999999</v>
      </c>
      <c r="E37" s="32" t="str">
        <f t="shared" ref="E37:E59" si="3">"L_"&amp;B37</f>
        <v>L_P8</v>
      </c>
      <c r="F37" s="26">
        <v>35</v>
      </c>
      <c r="G37" s="32" t="str">
        <f t="shared" ref="G37:G59" si="4">"e_"&amp;B37</f>
        <v>e_P8</v>
      </c>
      <c r="H37" s="35">
        <v>2.5000000000000001E-4</v>
      </c>
      <c r="O37" s="54"/>
      <c r="P37" s="32" t="s">
        <v>79</v>
      </c>
      <c r="Q37" s="55">
        <f xml:space="preserve"> Q_19 + Q_34</f>
        <v>3.7186171260838549E-2</v>
      </c>
      <c r="R37" s="30" t="s">
        <v>0</v>
      </c>
      <c r="S37" s="31" t="s">
        <v>189</v>
      </c>
      <c r="V37" s="56"/>
      <c r="Z37" s="34" t="s">
        <v>41</v>
      </c>
      <c r="AA37" s="32" t="s">
        <v>150</v>
      </c>
      <c r="AB37" s="45">
        <f>_xll.PipeStraightCircularCrossSection_dP(D_P28,L_P28,Q_28,Rho,Nu,5,e_P28,,,Cd,Z37)</f>
        <v>3209.502685546875</v>
      </c>
      <c r="AC37" s="30" t="s">
        <v>5</v>
      </c>
      <c r="AD37" s="31" t="s">
        <v>334</v>
      </c>
      <c r="AF37" s="9"/>
      <c r="AL37" s="20"/>
      <c r="AM37" s="20"/>
      <c r="AO37" s="9"/>
    </row>
    <row r="38" spans="2:41" ht="15.75" thickBot="1" x14ac:dyDescent="0.3">
      <c r="B38" s="34" t="s">
        <v>24</v>
      </c>
      <c r="C38" s="32" t="str">
        <f t="shared" si="2"/>
        <v>D_P9</v>
      </c>
      <c r="D38" s="26">
        <v>0.15409999999999999</v>
      </c>
      <c r="E38" s="32" t="str">
        <f t="shared" si="3"/>
        <v>L_P9</v>
      </c>
      <c r="F38" s="26">
        <v>30</v>
      </c>
      <c r="G38" s="32" t="str">
        <f t="shared" si="4"/>
        <v>e_P9</v>
      </c>
      <c r="H38" s="35">
        <v>2.5000000000000001E-4</v>
      </c>
      <c r="O38" s="16"/>
      <c r="P38" s="17"/>
      <c r="V38" s="56"/>
      <c r="Z38" s="34" t="s">
        <v>42</v>
      </c>
      <c r="AA38" s="32" t="s">
        <v>151</v>
      </c>
      <c r="AB38" s="45">
        <f>_xll.PipeStraightCircularCrossSection_dP(D_P29,L_P29,Q_29,Rho,Nu,5,e_P29,,,Cd,Z38)</f>
        <v>4541.24169921875</v>
      </c>
      <c r="AC38" s="30" t="s">
        <v>5</v>
      </c>
      <c r="AD38" s="31" t="s">
        <v>335</v>
      </c>
      <c r="AF38" s="9"/>
      <c r="AL38" s="20"/>
      <c r="AM38" s="20"/>
    </row>
    <row r="39" spans="2:41" ht="15.75" thickBot="1" x14ac:dyDescent="0.3">
      <c r="B39" s="34" t="s">
        <v>29</v>
      </c>
      <c r="C39" s="32" t="str">
        <f t="shared" si="2"/>
        <v>D_P10</v>
      </c>
      <c r="D39" s="26">
        <v>0.15409999999999999</v>
      </c>
      <c r="E39" s="32" t="str">
        <f t="shared" si="3"/>
        <v>L_P10</v>
      </c>
      <c r="F39" s="26">
        <v>25</v>
      </c>
      <c r="G39" s="32" t="str">
        <f t="shared" si="4"/>
        <v>e_P10</v>
      </c>
      <c r="H39" s="35">
        <v>2.5000000000000001E-4</v>
      </c>
      <c r="O39" s="16"/>
      <c r="P39" s="17"/>
      <c r="Z39" s="34" t="s">
        <v>43</v>
      </c>
      <c r="AA39" s="32" t="s">
        <v>152</v>
      </c>
      <c r="AB39" s="45">
        <f>_xll.PipeStraightCircularCrossSection_dP(D_P30,L_P30,Q_31,Rho,Nu,5,e_P30,,,Cd,Z39)</f>
        <v>1003.8947143554688</v>
      </c>
      <c r="AC39" s="30" t="s">
        <v>5</v>
      </c>
      <c r="AD39" s="31" t="s">
        <v>336</v>
      </c>
      <c r="AF39" s="9"/>
      <c r="AL39" s="20"/>
      <c r="AM39" s="20"/>
    </row>
    <row r="40" spans="2:41" ht="15.75" thickBot="1" x14ac:dyDescent="0.3">
      <c r="B40" s="34" t="s">
        <v>27</v>
      </c>
      <c r="C40" s="32" t="str">
        <f t="shared" si="2"/>
        <v>D_P13</v>
      </c>
      <c r="D40" s="26">
        <v>0.15409999999999999</v>
      </c>
      <c r="E40" s="32" t="str">
        <f t="shared" si="3"/>
        <v>L_P13</v>
      </c>
      <c r="F40" s="26">
        <v>35</v>
      </c>
      <c r="G40" s="32" t="str">
        <f t="shared" si="4"/>
        <v>e_P13</v>
      </c>
      <c r="H40" s="35">
        <v>2.5000000000000001E-4</v>
      </c>
      <c r="O40" s="53" t="s">
        <v>191</v>
      </c>
      <c r="Z40" s="34" t="s">
        <v>44</v>
      </c>
      <c r="AA40" s="32" t="s">
        <v>153</v>
      </c>
      <c r="AB40" s="45">
        <f>_xll.PipeStraightCircularCrossSection_dP(D_P32,L_P32,Q_31,Rho,Nu,5,e_P32,,,Cd,Z40)</f>
        <v>752.92108154296875</v>
      </c>
      <c r="AC40" s="30" t="s">
        <v>5</v>
      </c>
      <c r="AD40" s="31" t="s">
        <v>337</v>
      </c>
      <c r="AF40" s="9"/>
      <c r="AL40" s="20"/>
      <c r="AM40" s="20"/>
    </row>
    <row r="41" spans="2:41" ht="15.75" thickBot="1" x14ac:dyDescent="0.3">
      <c r="B41" s="34" t="s">
        <v>33</v>
      </c>
      <c r="C41" s="32" t="str">
        <f t="shared" si="2"/>
        <v>D_P15</v>
      </c>
      <c r="D41" s="26">
        <v>0.15409999999999999</v>
      </c>
      <c r="E41" s="32" t="str">
        <f t="shared" si="3"/>
        <v>L_P15</v>
      </c>
      <c r="F41" s="26">
        <v>5</v>
      </c>
      <c r="G41" s="32" t="str">
        <f t="shared" si="4"/>
        <v>e_P15</v>
      </c>
      <c r="H41" s="35">
        <v>2.5000000000000001E-4</v>
      </c>
      <c r="O41" s="34" t="s">
        <v>198</v>
      </c>
      <c r="P41" s="32" t="s">
        <v>230</v>
      </c>
      <c r="Q41" s="58">
        <f xml:space="preserve"> P_n22 - dPb_J53 - dP_P28 - dPb_J56</f>
        <v>171123.11278533936</v>
      </c>
      <c r="R41" s="30" t="s">
        <v>5</v>
      </c>
      <c r="S41" s="31" t="s">
        <v>206</v>
      </c>
      <c r="Z41" s="34" t="s">
        <v>45</v>
      </c>
      <c r="AA41" s="32" t="s">
        <v>154</v>
      </c>
      <c r="AB41" s="45">
        <f>_xll.PipeStraightCircularCrossSection_dP(D_P33,L_P33,Q_33,Rho,Nu,5,e_P33,,,Cd,Z41)</f>
        <v>1069.834228515625</v>
      </c>
      <c r="AC41" s="30" t="s">
        <v>5</v>
      </c>
      <c r="AD41" s="31" t="s">
        <v>338</v>
      </c>
      <c r="AF41" s="9"/>
      <c r="AL41" s="20"/>
      <c r="AM41" s="20"/>
    </row>
    <row r="42" spans="2:41" ht="15.75" thickBot="1" x14ac:dyDescent="0.3">
      <c r="B42" s="34" t="s">
        <v>34</v>
      </c>
      <c r="C42" s="32" t="str">
        <f t="shared" si="2"/>
        <v>D_P16</v>
      </c>
      <c r="D42" s="26">
        <v>0.15409999999999999</v>
      </c>
      <c r="E42" s="32" t="str">
        <f t="shared" si="3"/>
        <v>L_P16</v>
      </c>
      <c r="F42" s="26">
        <v>5</v>
      </c>
      <c r="G42" s="32" t="str">
        <f t="shared" si="4"/>
        <v>e_P16</v>
      </c>
      <c r="H42" s="35">
        <v>2.5000000000000001E-4</v>
      </c>
      <c r="O42" s="34" t="s">
        <v>198</v>
      </c>
      <c r="P42" s="32" t="s">
        <v>231</v>
      </c>
      <c r="Q42" s="58">
        <f xml:space="preserve"> P_n22 - dPt_J53 - dP_P10 - dP_HE12 - dP_OP6 - dP_P22 - dPt_J56</f>
        <v>171123.11367607117</v>
      </c>
      <c r="R42" s="30" t="s">
        <v>5</v>
      </c>
      <c r="S42" s="31" t="s">
        <v>207</v>
      </c>
      <c r="V42" s="21"/>
      <c r="Z42" s="34" t="s">
        <v>46</v>
      </c>
      <c r="AA42" s="32" t="s">
        <v>155</v>
      </c>
      <c r="AB42" s="45">
        <f>_xll.PipeStraightCircularCrossSection_dP(D_P34,L_P34,Q_34,Rho,Nu,5,e_P34,,,Cd,Z42)</f>
        <v>11.077651977539063</v>
      </c>
      <c r="AC42" s="30" t="s">
        <v>5</v>
      </c>
      <c r="AD42" s="31" t="s">
        <v>339</v>
      </c>
      <c r="AF42" s="9"/>
      <c r="AL42" s="20"/>
      <c r="AM42" s="20"/>
    </row>
    <row r="43" spans="2:41" ht="15.75" thickBot="1" x14ac:dyDescent="0.3">
      <c r="B43" s="34" t="s">
        <v>35</v>
      </c>
      <c r="C43" s="32" t="str">
        <f t="shared" si="2"/>
        <v>D_P17</v>
      </c>
      <c r="D43" s="26">
        <v>0.15409999999999999</v>
      </c>
      <c r="E43" s="32" t="str">
        <f t="shared" si="3"/>
        <v>L_P17</v>
      </c>
      <c r="F43" s="26">
        <v>5</v>
      </c>
      <c r="G43" s="32" t="str">
        <f t="shared" si="4"/>
        <v>e_P17</v>
      </c>
      <c r="H43" s="35">
        <v>2.5000000000000001E-4</v>
      </c>
      <c r="O43" s="34"/>
      <c r="P43" s="32"/>
      <c r="Q43" s="32"/>
      <c r="R43" s="30"/>
      <c r="S43" s="31"/>
      <c r="T43" s="20"/>
      <c r="U43" s="21"/>
      <c r="Z43" s="34" t="s">
        <v>47</v>
      </c>
      <c r="AA43" s="32" t="s">
        <v>156</v>
      </c>
      <c r="AB43" s="45">
        <f>_xll.PipeStraightCircularCrossSection_dP(D_P35,L_P35,Q_35,Rho,Nu,5,e_P35,,,Cd,Z43)</f>
        <v>7403.30224609375</v>
      </c>
      <c r="AC43" s="30" t="s">
        <v>5</v>
      </c>
      <c r="AD43" s="31" t="s">
        <v>340</v>
      </c>
      <c r="AF43" s="9"/>
      <c r="AL43" s="20"/>
      <c r="AM43" s="20"/>
    </row>
    <row r="44" spans="2:41" ht="15.75" thickBot="1" x14ac:dyDescent="0.3">
      <c r="B44" s="34" t="s">
        <v>30</v>
      </c>
      <c r="C44" s="32" t="str">
        <f t="shared" si="2"/>
        <v>D_P18</v>
      </c>
      <c r="D44" s="26">
        <v>0.15409999999999999</v>
      </c>
      <c r="E44" s="32" t="str">
        <f t="shared" si="3"/>
        <v>L_P18</v>
      </c>
      <c r="F44" s="26">
        <v>5</v>
      </c>
      <c r="G44" s="32" t="str">
        <f t="shared" si="4"/>
        <v>e_P18</v>
      </c>
      <c r="H44" s="35">
        <v>2.5000000000000001E-4</v>
      </c>
      <c r="O44" s="34" t="s">
        <v>192</v>
      </c>
      <c r="P44" s="32" t="s">
        <v>193</v>
      </c>
      <c r="Q44" s="58">
        <f xml:space="preserve">  Rsp  +  _xll.StaticPressure_H_Rho_g(Rllab  +  Rblar,Rho)</f>
        <v>109789.05859375</v>
      </c>
      <c r="R44" s="30" t="s">
        <v>5</v>
      </c>
      <c r="S44" s="31" t="s">
        <v>208</v>
      </c>
      <c r="Z44" s="34" t="s">
        <v>48</v>
      </c>
      <c r="AA44" s="32" t="s">
        <v>157</v>
      </c>
      <c r="AB44" s="45">
        <f>_xll.PipeStraightCircularCrossSection_dP(D_P42,L_P42,Q_42,Rho,Nu,5,e_P42,,,Cd,Z44)</f>
        <v>2778.252197265625</v>
      </c>
      <c r="AC44" s="30" t="s">
        <v>5</v>
      </c>
      <c r="AD44" s="31" t="s">
        <v>341</v>
      </c>
      <c r="AF44" s="9"/>
      <c r="AL44" s="20"/>
      <c r="AM44" s="20"/>
    </row>
    <row r="45" spans="2:41" ht="15.75" thickBot="1" x14ac:dyDescent="0.3">
      <c r="B45" s="34" t="s">
        <v>31</v>
      </c>
      <c r="C45" s="32" t="str">
        <f t="shared" si="2"/>
        <v>D_P19</v>
      </c>
      <c r="D45" s="26">
        <v>0.15409999999999999</v>
      </c>
      <c r="E45" s="32" t="str">
        <f t="shared" si="3"/>
        <v>L_P19</v>
      </c>
      <c r="F45" s="26">
        <v>10</v>
      </c>
      <c r="G45" s="32" t="str">
        <f t="shared" si="4"/>
        <v>e_P19</v>
      </c>
      <c r="H45" s="35">
        <v>2.5000000000000001E-4</v>
      </c>
      <c r="O45" s="34" t="s">
        <v>192</v>
      </c>
      <c r="P45" s="32" t="s">
        <v>194</v>
      </c>
      <c r="Q45" s="58">
        <f xml:space="preserve"> P_n53_n29 - dP_P9 - dP_P8</f>
        <v>109789.05548858643</v>
      </c>
      <c r="R45" s="30" t="s">
        <v>5</v>
      </c>
      <c r="S45" s="31" t="s">
        <v>209</v>
      </c>
      <c r="Z45" s="34" t="s">
        <v>49</v>
      </c>
      <c r="AA45" s="32" t="s">
        <v>158</v>
      </c>
      <c r="AB45" s="45">
        <f>_xll.PipeStraightCircularCrossSection_dP(D_P48,L_P48,Q_31,Rho,Nu,5,e_P48,,,Cd,Z45)</f>
        <v>752.92108154296875</v>
      </c>
      <c r="AC45" s="30" t="s">
        <v>5</v>
      </c>
      <c r="AD45" s="31" t="s">
        <v>342</v>
      </c>
      <c r="AF45" s="9"/>
      <c r="AL45" s="20"/>
      <c r="AM45" s="20"/>
    </row>
    <row r="46" spans="2:41" ht="15.75" thickBot="1" x14ac:dyDescent="0.3">
      <c r="B46" s="34" t="s">
        <v>32</v>
      </c>
      <c r="C46" s="32" t="str">
        <f t="shared" si="2"/>
        <v>D_P22</v>
      </c>
      <c r="D46" s="26">
        <v>0.15409999999999999</v>
      </c>
      <c r="E46" s="32" t="str">
        <f t="shared" si="3"/>
        <v>L_P22</v>
      </c>
      <c r="F46" s="26">
        <v>25</v>
      </c>
      <c r="G46" s="32" t="str">
        <f t="shared" si="4"/>
        <v>e_P22</v>
      </c>
      <c r="H46" s="35">
        <v>2.5000000000000001E-4</v>
      </c>
      <c r="O46" s="34"/>
      <c r="P46" s="32"/>
      <c r="Q46" s="32"/>
      <c r="R46" s="30"/>
      <c r="S46" s="31"/>
      <c r="Z46" s="34" t="s">
        <v>50</v>
      </c>
      <c r="AA46" s="32" t="s">
        <v>159</v>
      </c>
      <c r="AB46" s="45">
        <f>_xll.PipeStraightCircularCrossSection_dP(D_P51,L_P51,Q_11,Rho,Nu,5,e_P51,,,Cd,Z46)</f>
        <v>439.16348266601563</v>
      </c>
      <c r="AC46" s="30" t="s">
        <v>5</v>
      </c>
      <c r="AD46" s="31" t="s">
        <v>343</v>
      </c>
      <c r="AF46" s="9"/>
      <c r="AL46" s="20"/>
      <c r="AM46" s="20"/>
    </row>
    <row r="47" spans="2:41" ht="15.75" thickBot="1" x14ac:dyDescent="0.3">
      <c r="B47" s="34" t="s">
        <v>38</v>
      </c>
      <c r="C47" s="32" t="str">
        <f t="shared" si="2"/>
        <v>D_P25</v>
      </c>
      <c r="D47" s="26">
        <v>0.15409999999999999</v>
      </c>
      <c r="E47" s="32" t="str">
        <f t="shared" si="3"/>
        <v>L_P25</v>
      </c>
      <c r="F47" s="26">
        <v>15</v>
      </c>
      <c r="G47" s="32" t="str">
        <f t="shared" si="4"/>
        <v>e_P25</v>
      </c>
      <c r="H47" s="35">
        <v>2.5000000000000001E-4</v>
      </c>
      <c r="O47" s="34" t="s">
        <v>195</v>
      </c>
      <c r="P47" s="32" t="s">
        <v>232</v>
      </c>
      <c r="Q47" s="58">
        <f xml:space="preserve"> P_n12 - dPl_J14 - dP_P16 - dP_HE20 - dP_OP44 - dP_P18 - dPl_J43</f>
        <v>182980.86127471924</v>
      </c>
      <c r="R47" s="30" t="s">
        <v>5</v>
      </c>
      <c r="S47" s="31" t="s">
        <v>210</v>
      </c>
      <c r="Z47" s="5"/>
      <c r="AA47" s="6"/>
      <c r="AB47" s="11"/>
      <c r="AD47" s="31"/>
      <c r="AF47" s="9"/>
      <c r="AL47" s="20"/>
      <c r="AM47" s="20"/>
    </row>
    <row r="48" spans="2:41" ht="15.75" thickBot="1" x14ac:dyDescent="0.3">
      <c r="B48" s="34" t="s">
        <v>39</v>
      </c>
      <c r="C48" s="32" t="str">
        <f t="shared" si="2"/>
        <v>D_P26</v>
      </c>
      <c r="D48" s="26">
        <v>0.15409999999999999</v>
      </c>
      <c r="E48" s="32" t="str">
        <f t="shared" si="3"/>
        <v>L_P26</v>
      </c>
      <c r="F48" s="26">
        <v>10</v>
      </c>
      <c r="G48" s="32" t="str">
        <f t="shared" si="4"/>
        <v>e_P26</v>
      </c>
      <c r="H48" s="35">
        <v>2.5000000000000001E-4</v>
      </c>
      <c r="O48" s="34" t="s">
        <v>195</v>
      </c>
      <c r="P48" s="32" t="s">
        <v>233</v>
      </c>
      <c r="Q48" s="58">
        <f xml:space="preserve"> P_n12 - dPr_J14 - dP_P15 - dP_HE21 - dP_OP45 - dP_P17 - dPr_J43</f>
        <v>182980.86127471924</v>
      </c>
      <c r="R48" s="30" t="s">
        <v>5</v>
      </c>
      <c r="S48" s="31" t="s">
        <v>211</v>
      </c>
      <c r="Z48" s="43" t="s">
        <v>249</v>
      </c>
      <c r="AA48" s="43"/>
      <c r="AB48" s="43"/>
      <c r="AD48" s="31"/>
      <c r="AF48" s="9"/>
      <c r="AL48" s="20"/>
      <c r="AM48" s="20"/>
    </row>
    <row r="49" spans="2:41" ht="15.75" thickBot="1" x14ac:dyDescent="0.3">
      <c r="B49" s="34" t="s">
        <v>40</v>
      </c>
      <c r="C49" s="32" t="str">
        <f t="shared" si="2"/>
        <v>D_P27</v>
      </c>
      <c r="D49" s="26">
        <v>0.15409999999999999</v>
      </c>
      <c r="E49" s="32" t="str">
        <f t="shared" si="3"/>
        <v>L_P27</v>
      </c>
      <c r="F49" s="26">
        <v>10</v>
      </c>
      <c r="G49" s="32" t="str">
        <f t="shared" si="4"/>
        <v>e_P27</v>
      </c>
      <c r="H49" s="35">
        <v>2.5000000000000001E-4</v>
      </c>
      <c r="O49" s="34"/>
      <c r="P49" s="32"/>
      <c r="Q49" s="32"/>
      <c r="R49" s="30"/>
      <c r="S49" s="31"/>
      <c r="Z49" s="43" t="s">
        <v>92</v>
      </c>
      <c r="AA49" s="43"/>
      <c r="AB49" s="43"/>
      <c r="AD49" s="31"/>
      <c r="AF49" s="9"/>
      <c r="AL49" s="20"/>
      <c r="AM49" s="20"/>
    </row>
    <row r="50" spans="2:41" ht="15.75" thickBot="1" x14ac:dyDescent="0.3">
      <c r="B50" s="34" t="s">
        <v>41</v>
      </c>
      <c r="C50" s="32" t="str">
        <f t="shared" si="2"/>
        <v>D_P28</v>
      </c>
      <c r="D50" s="26">
        <v>0.15409999999999999</v>
      </c>
      <c r="E50" s="32" t="str">
        <f t="shared" si="3"/>
        <v>L_P28</v>
      </c>
      <c r="F50" s="26">
        <v>75</v>
      </c>
      <c r="G50" s="32" t="str">
        <f t="shared" si="4"/>
        <v>e_P28</v>
      </c>
      <c r="H50" s="35">
        <v>2.5000000000000001E-4</v>
      </c>
      <c r="O50" s="34" t="s">
        <v>197</v>
      </c>
      <c r="P50" s="32" t="s">
        <v>234</v>
      </c>
      <c r="Q50" s="58">
        <f xml:space="preserve"> P_n24 - dPt_J46 - dP_P13 - dP_HE11 - dP_P51 - dP_OP5 - dP_P25 - dPt_J50</f>
        <v>177391.42870330811</v>
      </c>
      <c r="R50" s="30" t="s">
        <v>5</v>
      </c>
      <c r="S50" s="31" t="s">
        <v>212</v>
      </c>
      <c r="Z50" s="34" t="s">
        <v>82</v>
      </c>
      <c r="AA50" s="32" t="s">
        <v>160</v>
      </c>
      <c r="AB50" s="45">
        <f>_xll.DividingSharpEdgedJunctionCircularCrossSection_StraightBranch_dP(Db_J41,Dt_J41,Q_42,Q_29,A_J41,Rho,Nu,2,Cd,Z50)</f>
        <v>329.490478515625</v>
      </c>
      <c r="AC50" s="30" t="s">
        <v>5</v>
      </c>
      <c r="AD50" s="31" t="s">
        <v>344</v>
      </c>
      <c r="AF50" s="9"/>
      <c r="AL50" s="20"/>
      <c r="AM50" s="20"/>
    </row>
    <row r="51" spans="2:41" ht="15.75" thickBot="1" x14ac:dyDescent="0.3">
      <c r="B51" s="34" t="s">
        <v>42</v>
      </c>
      <c r="C51" s="32" t="str">
        <f t="shared" si="2"/>
        <v>D_P29</v>
      </c>
      <c r="D51" s="26">
        <v>0.15409999999999999</v>
      </c>
      <c r="E51" s="32" t="str">
        <f t="shared" si="3"/>
        <v>L_P29</v>
      </c>
      <c r="F51" s="26">
        <v>25</v>
      </c>
      <c r="G51" s="32" t="str">
        <f t="shared" si="4"/>
        <v>e_P29</v>
      </c>
      <c r="H51" s="35">
        <v>2.5000000000000001E-4</v>
      </c>
      <c r="O51" s="34" t="s">
        <v>197</v>
      </c>
      <c r="P51" s="32" t="s">
        <v>235</v>
      </c>
      <c r="Q51" s="58">
        <f xml:space="preserve"> P_n27 - dPr_J49 - dP_P33 - dPb_J50</f>
        <v>177391.426902771</v>
      </c>
      <c r="R51" s="30" t="s">
        <v>5</v>
      </c>
      <c r="S51" s="31" t="s">
        <v>213</v>
      </c>
      <c r="V51" s="21"/>
      <c r="Z51" s="34" t="s">
        <v>84</v>
      </c>
      <c r="AA51" s="32" t="s">
        <v>161</v>
      </c>
      <c r="AB51" s="45">
        <f>_xll.DividingSharpEdgedJunctionCircularCrossSection_StraightBranch_dP(Db_J46,Dt_J46,Q_31,Q_11,A_J46,Rho,Nu,2,Cd,Z51)</f>
        <v>41.755744934082031</v>
      </c>
      <c r="AC51" s="30" t="s">
        <v>5</v>
      </c>
      <c r="AD51" s="31" t="s">
        <v>345</v>
      </c>
      <c r="AF51" s="9"/>
      <c r="AL51" s="20"/>
      <c r="AM51" s="20"/>
    </row>
    <row r="52" spans="2:41" ht="15.75" thickBot="1" x14ac:dyDescent="0.3">
      <c r="B52" s="34" t="s">
        <v>43</v>
      </c>
      <c r="C52" s="32" t="str">
        <f t="shared" si="2"/>
        <v>D_P30</v>
      </c>
      <c r="D52" s="26">
        <v>0.15409999999999999</v>
      </c>
      <c r="E52" s="32" t="str">
        <f t="shared" si="3"/>
        <v>L_P30</v>
      </c>
      <c r="F52" s="26">
        <v>20</v>
      </c>
      <c r="G52" s="32" t="str">
        <f t="shared" si="4"/>
        <v>e_P30</v>
      </c>
      <c r="H52" s="35">
        <v>2.5000000000000001E-4</v>
      </c>
      <c r="O52" s="34"/>
      <c r="P52" s="32"/>
      <c r="Q52" s="32"/>
      <c r="R52" s="30"/>
      <c r="S52" s="31"/>
      <c r="T52" s="20"/>
      <c r="U52" s="21"/>
      <c r="Z52" s="34" t="s">
        <v>86</v>
      </c>
      <c r="AA52" s="32" t="s">
        <v>162</v>
      </c>
      <c r="AB52" s="45">
        <f>_xll.CombiningSharpEdgedJunctionCircularCrossSection_StraightBranch_dP(Db_J50,Dt_J50,Q_33,Q_11,A_J50,Rho,Nu,2,Cd,Z52)</f>
        <v>547.3895263671875</v>
      </c>
      <c r="AC52" s="30" t="s">
        <v>5</v>
      </c>
      <c r="AD52" s="31" t="s">
        <v>346</v>
      </c>
      <c r="AL52" s="20"/>
      <c r="AM52" s="20"/>
    </row>
    <row r="53" spans="2:41" ht="15.75" thickBot="1" x14ac:dyDescent="0.3">
      <c r="B53" s="34" t="s">
        <v>44</v>
      </c>
      <c r="C53" s="32" t="str">
        <f t="shared" si="2"/>
        <v>D_P32</v>
      </c>
      <c r="D53" s="26">
        <v>0.15409999999999999</v>
      </c>
      <c r="E53" s="32" t="str">
        <f t="shared" si="3"/>
        <v>L_P32</v>
      </c>
      <c r="F53" s="26">
        <v>15</v>
      </c>
      <c r="G53" s="32" t="str">
        <f t="shared" si="4"/>
        <v>e_P32</v>
      </c>
      <c r="H53" s="35">
        <v>2.5000000000000001E-4</v>
      </c>
      <c r="O53" s="34" t="s">
        <v>199</v>
      </c>
      <c r="P53" s="32" t="s">
        <v>236</v>
      </c>
      <c r="Q53" s="58">
        <f xml:space="preserve"> P_n23_n59 - dP_P27 - dPb_J55</f>
        <v>167783.64968681335</v>
      </c>
      <c r="R53" s="30" t="s">
        <v>5</v>
      </c>
      <c r="S53" s="31" t="s">
        <v>214</v>
      </c>
      <c r="U53" s="21"/>
      <c r="Z53" s="34" t="s">
        <v>87</v>
      </c>
      <c r="AA53" s="32" t="s">
        <v>163</v>
      </c>
      <c r="AB53" s="45">
        <f>_xll.CombiningSharpEdgedJunctionCircularCrossSection_StraightBranch_dP(Db_J52,Dt_J52,Q_19,Q_34,A_J52,Rho,Nu,2,Cd,Z53)</f>
        <v>1085.5545654296875</v>
      </c>
      <c r="AC53" s="30" t="s">
        <v>5</v>
      </c>
      <c r="AD53" s="31" t="s">
        <v>347</v>
      </c>
      <c r="AL53" s="20"/>
      <c r="AM53" s="20"/>
    </row>
    <row r="54" spans="2:41" ht="15.75" thickBot="1" x14ac:dyDescent="0.3">
      <c r="B54" s="34" t="s">
        <v>45</v>
      </c>
      <c r="C54" s="32" t="str">
        <f t="shared" si="2"/>
        <v>D_P33</v>
      </c>
      <c r="D54" s="26">
        <v>0.15409999999999999</v>
      </c>
      <c r="E54" s="32" t="str">
        <f t="shared" si="3"/>
        <v>L_P33</v>
      </c>
      <c r="F54" s="26">
        <v>25</v>
      </c>
      <c r="G54" s="32" t="str">
        <f t="shared" si="4"/>
        <v>e_P33</v>
      </c>
      <c r="H54" s="35">
        <v>2.5000000000000001E-4</v>
      </c>
      <c r="O54" s="34" t="s">
        <v>199</v>
      </c>
      <c r="P54" s="32" t="s">
        <v>237</v>
      </c>
      <c r="Q54" s="58">
        <f xml:space="preserve"> P_n54_n28 - dP_P35 - dPt_J55</f>
        <v>167783.64728546143</v>
      </c>
      <c r="R54" s="30" t="s">
        <v>5</v>
      </c>
      <c r="S54" s="31" t="s">
        <v>215</v>
      </c>
      <c r="V54" s="21"/>
      <c r="Z54" s="34" t="s">
        <v>88</v>
      </c>
      <c r="AA54" s="32" t="s">
        <v>164</v>
      </c>
      <c r="AB54" s="45">
        <f>_xll.DividingSharpEdgedJunctionCircularCrossSection_StraightBranch_dP(Db_J53,Dt_J53,Q_28,Q_12,A_J53,Rho,Nu,2,Cd,Z54)</f>
        <v>27.727838516235352</v>
      </c>
      <c r="AC54" s="30" t="s">
        <v>5</v>
      </c>
      <c r="AD54" s="31" t="s">
        <v>348</v>
      </c>
      <c r="AL54" s="20"/>
      <c r="AM54" s="20"/>
      <c r="AO54" s="9"/>
    </row>
    <row r="55" spans="2:41" ht="15.75" thickBot="1" x14ac:dyDescent="0.3">
      <c r="B55" s="34" t="s">
        <v>46</v>
      </c>
      <c r="C55" s="32" t="str">
        <f t="shared" si="2"/>
        <v>D_P34</v>
      </c>
      <c r="D55" s="26">
        <v>0.15409999999999999</v>
      </c>
      <c r="E55" s="32" t="str">
        <f t="shared" si="3"/>
        <v>L_P34</v>
      </c>
      <c r="F55" s="26">
        <v>25</v>
      </c>
      <c r="G55" s="32" t="str">
        <f t="shared" si="4"/>
        <v>e_P34</v>
      </c>
      <c r="H55" s="35">
        <v>2.5000000000000001E-4</v>
      </c>
      <c r="O55" s="34"/>
      <c r="P55" s="32"/>
      <c r="Q55" s="32"/>
      <c r="R55" s="30"/>
      <c r="S55" s="31"/>
      <c r="T55" s="20"/>
      <c r="U55" s="21"/>
      <c r="Z55" s="34" t="s">
        <v>89</v>
      </c>
      <c r="AA55" s="32" t="s">
        <v>165</v>
      </c>
      <c r="AB55" s="45">
        <f>_xll.CombiningSharpEdgedJunctionCircularCrossSection_StraightBranch_dP(Db_J55,Dt_J55,Q_27,Q_35,A_J55,Rho,Nu,2,Cd,Z55)</f>
        <v>2818.075927734375</v>
      </c>
      <c r="AC55" s="30" t="s">
        <v>5</v>
      </c>
      <c r="AD55" s="31" t="s">
        <v>349</v>
      </c>
      <c r="AL55" s="20"/>
      <c r="AM55" s="20"/>
      <c r="AO55" s="9"/>
    </row>
    <row r="56" spans="2:41" ht="15.75" thickBot="1" x14ac:dyDescent="0.3">
      <c r="B56" s="34" t="s">
        <v>47</v>
      </c>
      <c r="C56" s="32" t="str">
        <f t="shared" si="2"/>
        <v>D_P35</v>
      </c>
      <c r="D56" s="26">
        <v>0.15409999999999999</v>
      </c>
      <c r="E56" s="32" t="str">
        <f t="shared" si="3"/>
        <v>L_P35</v>
      </c>
      <c r="F56" s="26">
        <v>25</v>
      </c>
      <c r="G56" s="32" t="str">
        <f t="shared" si="4"/>
        <v>e_P35</v>
      </c>
      <c r="H56" s="35">
        <v>2.5000000000000001E-4</v>
      </c>
      <c r="O56" s="34" t="s">
        <v>196</v>
      </c>
      <c r="P56" s="32" t="s">
        <v>238</v>
      </c>
      <c r="Q56" s="58">
        <f xml:space="preserve"> P_n43_n39 - dP_P19 - dPb_J52</f>
        <v>178005.23212432861</v>
      </c>
      <c r="R56" s="30" t="s">
        <v>5</v>
      </c>
      <c r="S56" s="31" t="s">
        <v>216</v>
      </c>
      <c r="U56" s="21"/>
      <c r="Z56" s="34" t="s">
        <v>90</v>
      </c>
      <c r="AA56" s="32" t="s">
        <v>166</v>
      </c>
      <c r="AB56" s="45">
        <f>_xll.CombiningSharpEdgedJunctionCircularCrossSection_StraightBranch_dP(Db_J56,Dt_J56,Q_28,Q_12,A_J56,Rho,Nu,2,Cd,Z56)</f>
        <v>547.3895263671875</v>
      </c>
      <c r="AC56" s="30" t="s">
        <v>5</v>
      </c>
      <c r="AD56" s="31" t="s">
        <v>350</v>
      </c>
      <c r="AL56" s="20"/>
      <c r="AM56" s="20"/>
      <c r="AO56" s="9"/>
    </row>
    <row r="57" spans="2:41" ht="15.75" thickBot="1" x14ac:dyDescent="0.3">
      <c r="B57" s="34" t="s">
        <v>48</v>
      </c>
      <c r="C57" s="32" t="str">
        <f t="shared" si="2"/>
        <v>D_P42</v>
      </c>
      <c r="D57" s="26">
        <v>0.15409999999999999</v>
      </c>
      <c r="E57" s="32" t="str">
        <f t="shared" si="3"/>
        <v>L_P42</v>
      </c>
      <c r="F57" s="26">
        <v>10</v>
      </c>
      <c r="G57" s="32" t="str">
        <f t="shared" si="4"/>
        <v>e_P42</v>
      </c>
      <c r="H57" s="35">
        <v>2.5000000000000001E-4</v>
      </c>
      <c r="O57" s="34" t="s">
        <v>196</v>
      </c>
      <c r="P57" s="32" t="s">
        <v>239</v>
      </c>
      <c r="Q57" s="58">
        <f xml:space="preserve"> P_n27 - dPl_J49 - dP_P34 - dPt_J52</f>
        <v>178005.02545928955</v>
      </c>
      <c r="R57" s="30" t="s">
        <v>5</v>
      </c>
      <c r="S57" s="31" t="s">
        <v>217</v>
      </c>
      <c r="V57" s="21"/>
      <c r="Z57" s="43" t="s">
        <v>91</v>
      </c>
      <c r="AA57" s="43"/>
      <c r="AB57" s="43"/>
      <c r="AD57" s="31"/>
      <c r="AL57" s="20"/>
      <c r="AM57" s="20"/>
      <c r="AO57" s="9"/>
    </row>
    <row r="58" spans="2:41" ht="15.75" thickBot="1" x14ac:dyDescent="0.3">
      <c r="B58" s="34" t="s">
        <v>49</v>
      </c>
      <c r="C58" s="32" t="str">
        <f t="shared" si="2"/>
        <v>D_P48</v>
      </c>
      <c r="D58" s="26">
        <v>0.15409999999999999</v>
      </c>
      <c r="E58" s="32" t="str">
        <f t="shared" si="3"/>
        <v>L_P48</v>
      </c>
      <c r="F58" s="26">
        <v>15</v>
      </c>
      <c r="G58" s="32" t="str">
        <f t="shared" si="4"/>
        <v>e_P48</v>
      </c>
      <c r="H58" s="35">
        <v>2.5000000000000001E-4</v>
      </c>
      <c r="O58" s="34"/>
      <c r="P58" s="32"/>
      <c r="Q58" s="32"/>
      <c r="R58" s="30"/>
      <c r="S58" s="31"/>
      <c r="T58" s="20"/>
      <c r="U58" s="21"/>
      <c r="Z58" s="34" t="s">
        <v>82</v>
      </c>
      <c r="AA58" s="32" t="s">
        <v>167</v>
      </c>
      <c r="AB58" s="45">
        <f>_xll.DividingSharpEdgedJunctionCircularCrossSection_SideBranch_dP(Db_J41,Dt_J41,Q_42,Q_29,A_J41,Rho,Nu,2,Cd,Z58)</f>
        <v>5086.32958984375</v>
      </c>
      <c r="AC58" s="30" t="s">
        <v>5</v>
      </c>
      <c r="AD58" s="31" t="s">
        <v>351</v>
      </c>
      <c r="AL58" s="20"/>
      <c r="AM58" s="20"/>
      <c r="AO58" s="9"/>
    </row>
    <row r="59" spans="2:41" ht="15.75" thickBot="1" x14ac:dyDescent="0.3">
      <c r="B59" s="34" t="s">
        <v>50</v>
      </c>
      <c r="C59" s="32" t="str">
        <f t="shared" si="2"/>
        <v>D_P51</v>
      </c>
      <c r="D59" s="26">
        <v>0.15409999999999999</v>
      </c>
      <c r="E59" s="32" t="str">
        <f t="shared" si="3"/>
        <v>L_P51</v>
      </c>
      <c r="F59" s="26">
        <v>10</v>
      </c>
      <c r="G59" s="32" t="str">
        <f t="shared" si="4"/>
        <v>e_P51</v>
      </c>
      <c r="H59" s="35">
        <v>2.5000000000000001E-4</v>
      </c>
      <c r="O59" s="34" t="s">
        <v>200</v>
      </c>
      <c r="P59" s="32" t="s">
        <v>109</v>
      </c>
      <c r="Q59" s="58">
        <f xml:space="preserve"> P_n34 - dPb_J41 - dP_P42</f>
        <v>191194.22290039063</v>
      </c>
      <c r="R59" s="30" t="s">
        <v>5</v>
      </c>
      <c r="S59" s="31" t="s">
        <v>218</v>
      </c>
      <c r="U59" s="21"/>
      <c r="Z59" s="34" t="s">
        <v>84</v>
      </c>
      <c r="AA59" s="32" t="s">
        <v>168</v>
      </c>
      <c r="AB59" s="45">
        <f>_xll.DividingSharpEdgedJunctionCircularCrossSection_SideBranch_dP(Db_J46,Dt_J46,Q_31,Q_11,A_J46,Rho,Nu,2,Cd,Z59)</f>
        <v>998.7152099609375</v>
      </c>
      <c r="AC59" s="30" t="s">
        <v>5</v>
      </c>
      <c r="AD59" s="31" t="s">
        <v>352</v>
      </c>
      <c r="AL59" s="20"/>
      <c r="AM59" s="20"/>
      <c r="AO59" s="9"/>
    </row>
    <row r="60" spans="2:41" ht="15.75" thickBot="1" x14ac:dyDescent="0.3">
      <c r="O60" s="34"/>
      <c r="P60" s="32"/>
      <c r="Q60" s="32"/>
      <c r="R60" s="30"/>
      <c r="S60" s="31"/>
      <c r="V60" s="21"/>
      <c r="Z60" s="34" t="s">
        <v>86</v>
      </c>
      <c r="AA60" s="32" t="s">
        <v>169</v>
      </c>
      <c r="AB60" s="45">
        <f>_xll.CombiningSharpEdgedJunctionCircularCrossSection_SideBranch_dP(Db_J50,Dt_J50,Q_33,Q_11,A_J50,Rho,Nu,2,Cd,Z60)</f>
        <v>471.071533203125</v>
      </c>
      <c r="AC60" s="30" t="s">
        <v>5</v>
      </c>
      <c r="AD60" s="31" t="s">
        <v>353</v>
      </c>
      <c r="AL60" s="20"/>
      <c r="AM60" s="20"/>
      <c r="AO60" s="9"/>
    </row>
    <row r="61" spans="2:41" ht="15.75" thickBot="1" x14ac:dyDescent="0.3">
      <c r="B61" s="25" t="s">
        <v>65</v>
      </c>
      <c r="O61" s="34" t="s">
        <v>201</v>
      </c>
      <c r="P61" s="32" t="s">
        <v>112</v>
      </c>
      <c r="Q61" s="58">
        <f xml:space="preserve"> P_n51_n47 - dP_P26</f>
        <v>175717.80297088623</v>
      </c>
      <c r="R61" s="30" t="s">
        <v>5</v>
      </c>
      <c r="S61" s="31" t="s">
        <v>219</v>
      </c>
      <c r="T61" s="20"/>
      <c r="U61" s="21"/>
      <c r="Z61" s="34" t="s">
        <v>87</v>
      </c>
      <c r="AA61" s="32" t="s">
        <v>170</v>
      </c>
      <c r="AB61" s="45">
        <f>_xll.CombiningSharpEdgedJunctionCircularCrossSection_SideBranch_dP(Db_J52,Dt_J52,Q_19,Q_34,A_J52,Rho,Nu,2,Cd,Z61)</f>
        <v>2197.376953125</v>
      </c>
      <c r="AC61" s="30" t="s">
        <v>5</v>
      </c>
      <c r="AD61" s="31" t="s">
        <v>354</v>
      </c>
      <c r="AL61" s="20"/>
      <c r="AM61" s="20"/>
      <c r="AO61" s="9"/>
    </row>
    <row r="62" spans="2:41" ht="15.75" thickBot="1" x14ac:dyDescent="0.3">
      <c r="B62" s="34" t="s">
        <v>15</v>
      </c>
      <c r="C62" s="97" t="s">
        <v>122</v>
      </c>
      <c r="D62" s="97"/>
      <c r="O62" s="34"/>
      <c r="P62" s="32"/>
      <c r="Q62" s="32"/>
      <c r="R62" s="30"/>
      <c r="S62" s="31"/>
      <c r="U62" s="21"/>
      <c r="Z62" s="34" t="s">
        <v>88</v>
      </c>
      <c r="AA62" s="32" t="s">
        <v>171</v>
      </c>
      <c r="AB62" s="45">
        <f>_xll.DividingSharpEdgedJunctionCircularCrossSection_SideBranch_dP(Db_J53,Dt_J53,Q_28,Q_12,A_J53,Rho,Nu,2,Cd,Z62)</f>
        <v>914.115966796875</v>
      </c>
      <c r="AC62" s="30" t="s">
        <v>5</v>
      </c>
      <c r="AD62" s="31" t="s">
        <v>355</v>
      </c>
      <c r="AL62" s="20"/>
      <c r="AM62" s="20"/>
      <c r="AO62" s="9"/>
    </row>
    <row r="63" spans="2:41" ht="15.75" thickBot="1" x14ac:dyDescent="0.3">
      <c r="B63" s="34" t="s">
        <v>66</v>
      </c>
      <c r="C63" s="32" t="str">
        <f>"Dpi_"&amp;B63</f>
        <v>Dpi_OP5</v>
      </c>
      <c r="D63" s="26">
        <v>0.15409999999999999</v>
      </c>
      <c r="O63" s="34" t="s">
        <v>202</v>
      </c>
      <c r="P63" s="32" t="s">
        <v>111</v>
      </c>
      <c r="Q63" s="58">
        <f xml:space="preserve"> P_n34 - dPt_J41 - dP_P29</f>
        <v>194188.07250976563</v>
      </c>
      <c r="R63" s="30" t="s">
        <v>5</v>
      </c>
      <c r="S63" s="31" t="s">
        <v>220</v>
      </c>
      <c r="V63" s="21"/>
      <c r="Z63" s="34" t="s">
        <v>89</v>
      </c>
      <c r="AA63" s="32" t="s">
        <v>172</v>
      </c>
      <c r="AB63" s="45">
        <f>_xll.CombiningSharpEdgedJunctionCircularCrossSection_SideBranch_dP(Db_J55,Dt_J55,Q_27,Q_35,A_J55,Rho,Nu,2,Cd,Z63)</f>
        <v>1665.8382568359375</v>
      </c>
      <c r="AC63" s="30" t="s">
        <v>5</v>
      </c>
      <c r="AD63" s="31" t="s">
        <v>356</v>
      </c>
      <c r="AL63" s="20"/>
      <c r="AM63" s="20"/>
      <c r="AO63" s="9"/>
    </row>
    <row r="64" spans="2:41" ht="15.75" thickBot="1" x14ac:dyDescent="0.3">
      <c r="B64" s="34" t="s">
        <v>67</v>
      </c>
      <c r="C64" s="32" t="str">
        <f>"Dpi_"&amp;B64</f>
        <v>Dpi_OP6</v>
      </c>
      <c r="D64" s="26">
        <v>0.15409999999999999</v>
      </c>
      <c r="E64" s="6"/>
      <c r="F64" s="7"/>
      <c r="G64" s="6"/>
      <c r="H64" s="13"/>
      <c r="O64" s="34"/>
      <c r="P64" s="32"/>
      <c r="Q64" s="32"/>
      <c r="R64" s="30"/>
      <c r="S64" s="31"/>
      <c r="T64" s="20"/>
      <c r="U64" s="21"/>
      <c r="Z64" s="34" t="s">
        <v>90</v>
      </c>
      <c r="AA64" s="32" t="s">
        <v>173</v>
      </c>
      <c r="AB64" s="45">
        <f>_xll.CombiningSharpEdgedJunctionCircularCrossSection_SideBranch_dP(Db_J56,Dt_J56,Q_28,Q_12,A_J56,Rho,Nu,2,Cd,Z64)</f>
        <v>471.071533203125</v>
      </c>
      <c r="AC64" s="30" t="s">
        <v>5</v>
      </c>
      <c r="AD64" s="31" t="s">
        <v>357</v>
      </c>
      <c r="AL64" s="20"/>
      <c r="AM64" s="20"/>
      <c r="AO64" s="9"/>
    </row>
    <row r="65" spans="2:41" ht="15.75" thickBot="1" x14ac:dyDescent="0.3">
      <c r="B65" s="34" t="s">
        <v>68</v>
      </c>
      <c r="C65" s="32" t="str">
        <f>"Dpi_"&amp;B65</f>
        <v>Dpi_OP44</v>
      </c>
      <c r="D65" s="26">
        <v>0.15409999999999999</v>
      </c>
      <c r="E65" s="6"/>
      <c r="F65" s="7"/>
      <c r="G65" s="6"/>
      <c r="H65" s="13"/>
      <c r="O65" s="34" t="s">
        <v>203</v>
      </c>
      <c r="P65" s="32" t="s">
        <v>110</v>
      </c>
      <c r="Q65" s="58">
        <f xml:space="preserve"> P_n24 - dPb_J46 - dP_P30 - dP_HE31 - dP_P48 - dP_OP47 - dP_P32</f>
        <v>179304.1693649292</v>
      </c>
      <c r="R65" s="30" t="s">
        <v>5</v>
      </c>
      <c r="S65" s="31" t="s">
        <v>221</v>
      </c>
      <c r="U65" s="21"/>
      <c r="Z65" s="43" t="s">
        <v>94</v>
      </c>
      <c r="AA65" s="43"/>
      <c r="AB65" s="43"/>
      <c r="AD65" s="31"/>
      <c r="AL65" s="20"/>
      <c r="AM65" s="20"/>
      <c r="AO65" s="9"/>
    </row>
    <row r="66" spans="2:41" ht="15.75" thickBot="1" x14ac:dyDescent="0.3">
      <c r="B66" s="34" t="s">
        <v>69</v>
      </c>
      <c r="C66" s="32" t="str">
        <f>"Dpi_"&amp;B66</f>
        <v>Dpi_OP45</v>
      </c>
      <c r="D66" s="26">
        <v>0.15409999999999999</v>
      </c>
      <c r="E66" s="6"/>
      <c r="F66" s="7"/>
      <c r="G66" s="6"/>
      <c r="H66" s="13"/>
      <c r="N66" s="15"/>
      <c r="O66" s="34"/>
      <c r="P66" s="32"/>
      <c r="Q66" s="32"/>
      <c r="R66" s="30"/>
      <c r="S66" s="31"/>
      <c r="V66" s="21"/>
      <c r="Z66" s="34" t="s">
        <v>28</v>
      </c>
      <c r="AA66" s="32" t="s">
        <v>174</v>
      </c>
      <c r="AB66" s="45">
        <f>_xll.SymetricDividingSharpEdgedTJunctionCircularCrossSection_LeftBranch_dP(Db_J14,Dt_J14,Q_20,Q_21,Rho,Nu,3,Cd,Z66)</f>
        <v>2013.2198486328125</v>
      </c>
      <c r="AC66" s="30" t="s">
        <v>5</v>
      </c>
      <c r="AD66" s="31" t="s">
        <v>358</v>
      </c>
      <c r="AL66" s="20"/>
      <c r="AM66" s="20"/>
      <c r="AO66" s="9"/>
    </row>
    <row r="67" spans="2:41" ht="15.75" thickBot="1" x14ac:dyDescent="0.3">
      <c r="B67" s="34" t="s">
        <v>70</v>
      </c>
      <c r="C67" s="32" t="str">
        <f>"Dpi_"&amp;B67</f>
        <v>Dpi_OP47</v>
      </c>
      <c r="D67" s="26">
        <v>0.15409999999999999</v>
      </c>
      <c r="E67" s="6"/>
      <c r="F67" s="7"/>
      <c r="G67" s="6"/>
      <c r="H67" s="13"/>
      <c r="O67" s="34" t="s">
        <v>204</v>
      </c>
      <c r="P67" s="32" t="s">
        <v>106</v>
      </c>
      <c r="Q67" s="58">
        <f xml:space="preserve"> P_n30_R37 + P_Pp36</f>
        <v>221364.41796875</v>
      </c>
      <c r="R67" s="30" t="s">
        <v>5</v>
      </c>
      <c r="S67" s="31" t="s">
        <v>222</v>
      </c>
      <c r="T67" s="20"/>
      <c r="U67" s="21"/>
      <c r="Z67" s="34" t="s">
        <v>83</v>
      </c>
      <c r="AA67" s="32" t="s">
        <v>175</v>
      </c>
      <c r="AB67" s="45">
        <f>_xll.SymetricCombiningSharpEdgedTJunctionCircularCrossSection_LeftBranch_dP(Db_J43,Dt_J43,Q_20,Q_21,Rho,Nu,2,Cd,Z67)</f>
        <v>1220.228271484375</v>
      </c>
      <c r="AC67" s="30" t="s">
        <v>5</v>
      </c>
      <c r="AD67" s="31" t="s">
        <v>359</v>
      </c>
      <c r="AL67" s="20"/>
      <c r="AM67" s="20"/>
      <c r="AO67" s="9"/>
    </row>
    <row r="68" spans="2:41" ht="15.75" thickBot="1" x14ac:dyDescent="0.3">
      <c r="B68" s="34"/>
      <c r="C68" s="32"/>
      <c r="D68" s="64"/>
      <c r="E68" s="6"/>
      <c r="F68" s="7"/>
      <c r="G68" s="6"/>
      <c r="H68" s="13"/>
      <c r="O68" s="34"/>
      <c r="P68" s="32"/>
      <c r="Q68" s="32"/>
      <c r="R68" s="30"/>
      <c r="S68" s="31"/>
      <c r="U68" s="21"/>
      <c r="Z68" s="34" t="s">
        <v>85</v>
      </c>
      <c r="AA68" s="32" t="s">
        <v>176</v>
      </c>
      <c r="AB68" s="45">
        <f>_xll.SymetricDividingSharpEdgedTJunctionCircularCrossSection_LeftBranch_dP(Db_J49,Dt_J49,Q_34,Q_33,Rho,Nu,3,Cd,Z68)</f>
        <v>202.51168823242188</v>
      </c>
      <c r="AC68" s="30" t="s">
        <v>5</v>
      </c>
      <c r="AD68" s="31" t="s">
        <v>360</v>
      </c>
      <c r="AL68" s="20"/>
      <c r="AM68" s="20"/>
      <c r="AO68" s="9"/>
    </row>
    <row r="69" spans="2:41" ht="15.75" thickBot="1" x14ac:dyDescent="0.3">
      <c r="B69" s="25" t="s">
        <v>81</v>
      </c>
      <c r="O69" s="34" t="s">
        <v>205</v>
      </c>
      <c r="P69" s="32" t="s">
        <v>107</v>
      </c>
      <c r="Q69" s="58">
        <f xml:space="preserve"> P_n31 - dP_P7</f>
        <v>199058.8046875</v>
      </c>
      <c r="R69" s="30" t="s">
        <v>5</v>
      </c>
      <c r="S69" s="31" t="s">
        <v>223</v>
      </c>
      <c r="V69" s="21"/>
      <c r="Z69" s="43" t="s">
        <v>93</v>
      </c>
      <c r="AA69" s="43"/>
      <c r="AB69" s="43"/>
      <c r="AD69" s="31"/>
      <c r="AL69" s="20"/>
      <c r="AM69" s="20"/>
      <c r="AO69" s="9"/>
    </row>
    <row r="70" spans="2:41" ht="15.75" thickBot="1" x14ac:dyDescent="0.3">
      <c r="B70" s="34" t="s">
        <v>15</v>
      </c>
      <c r="C70" s="97" t="s">
        <v>123</v>
      </c>
      <c r="D70" s="97"/>
      <c r="E70" s="97" t="s">
        <v>124</v>
      </c>
      <c r="F70" s="97"/>
      <c r="G70" s="97" t="s">
        <v>125</v>
      </c>
      <c r="H70" s="97"/>
      <c r="S70" s="22"/>
      <c r="T70" s="20"/>
      <c r="Z70" s="34" t="s">
        <v>28</v>
      </c>
      <c r="AA70" s="32" t="s">
        <v>177</v>
      </c>
      <c r="AB70" s="45">
        <f>_xll.SymetricDividingSharpEdgedTJunctionCircularCrossSection_RightBranch_dP(Db_J14,Dt_J14,Q_20,Q_21,Rho,Nu,3,Cd,Z70)</f>
        <v>2013.2198486328125</v>
      </c>
      <c r="AC70" s="30" t="s">
        <v>5</v>
      </c>
      <c r="AD70" s="31" t="s">
        <v>361</v>
      </c>
      <c r="AL70" s="20"/>
      <c r="AM70" s="20"/>
      <c r="AO70" s="9"/>
    </row>
    <row r="71" spans="2:41" ht="15.75" thickBot="1" x14ac:dyDescent="0.3">
      <c r="B71" s="34" t="s">
        <v>28</v>
      </c>
      <c r="C71" s="32" t="str">
        <f>"Dt_"&amp;B71</f>
        <v>Dt_J14</v>
      </c>
      <c r="D71" s="26">
        <v>0.15409999999999999</v>
      </c>
      <c r="E71" s="32" t="str">
        <f>"Db_"&amp;B71</f>
        <v>Db_J14</v>
      </c>
      <c r="F71" s="26">
        <v>0.15409999999999999</v>
      </c>
      <c r="G71" s="32" t="str">
        <f>"A_"&amp;B71</f>
        <v>A_J14</v>
      </c>
      <c r="H71" s="42">
        <v>90</v>
      </c>
      <c r="U71" s="21"/>
      <c r="Z71" s="34" t="s">
        <v>83</v>
      </c>
      <c r="AA71" s="32" t="s">
        <v>178</v>
      </c>
      <c r="AB71" s="45">
        <f>_xll.SymetricCombiningSharpEdgedTJunctionCircularCrossSection_RightBranch_dP(Db_J43,Dt_J43,Q_20,Q_21,Rho,Nu,2,Cd,Z71)</f>
        <v>1220.228271484375</v>
      </c>
      <c r="AC71" s="30" t="s">
        <v>5</v>
      </c>
      <c r="AD71" s="31" t="s">
        <v>362</v>
      </c>
      <c r="AL71" s="20"/>
      <c r="AM71" s="20"/>
    </row>
    <row r="72" spans="2:41" ht="15.75" thickBot="1" x14ac:dyDescent="0.3">
      <c r="B72" s="34" t="s">
        <v>82</v>
      </c>
      <c r="C72" s="32" t="str">
        <f t="shared" ref="C72:C80" si="5">"Dt_"&amp;B72</f>
        <v>Dt_J41</v>
      </c>
      <c r="D72" s="26">
        <v>0.15409999999999999</v>
      </c>
      <c r="E72" s="32" t="str">
        <f t="shared" ref="E72:E80" si="6">"Db_"&amp;B72</f>
        <v>Db_J41</v>
      </c>
      <c r="F72" s="26">
        <v>0.15409999999999999</v>
      </c>
      <c r="G72" s="32" t="str">
        <f t="shared" ref="G72:G80" si="7">"A_"&amp;B72</f>
        <v>A_J41</v>
      </c>
      <c r="H72" s="42">
        <v>90</v>
      </c>
      <c r="P72" s="1"/>
      <c r="V72" s="21"/>
      <c r="Z72" s="34" t="s">
        <v>85</v>
      </c>
      <c r="AA72" s="32" t="s">
        <v>179</v>
      </c>
      <c r="AB72" s="45">
        <f>_xll.SymetricDividingSharpEdgedTJunctionCircularCrossSection_RightBranch_dP(Db_J49,Dt_J49,Q_34,Q_33,Rho,Nu,3,Cd,Z72)</f>
        <v>371.83670043945313</v>
      </c>
      <c r="AC72" s="30" t="s">
        <v>5</v>
      </c>
      <c r="AD72" s="31" t="s">
        <v>363</v>
      </c>
      <c r="AL72" s="20"/>
      <c r="AM72" s="20"/>
      <c r="AO72" s="9"/>
    </row>
    <row r="73" spans="2:41" ht="15.75" thickBot="1" x14ac:dyDescent="0.3">
      <c r="B73" s="34" t="s">
        <v>83</v>
      </c>
      <c r="C73" s="32" t="str">
        <f>"Dt_"&amp;B73</f>
        <v>Dt_J43</v>
      </c>
      <c r="D73" s="26">
        <v>0.15409999999999999</v>
      </c>
      <c r="E73" s="32" t="str">
        <f>"Db_"&amp;B73</f>
        <v>Db_J43</v>
      </c>
      <c r="F73" s="26">
        <v>0.15409999999999999</v>
      </c>
      <c r="G73" s="32" t="str">
        <f>"A_"&amp;B73</f>
        <v>A_J43</v>
      </c>
      <c r="H73" s="42">
        <v>90</v>
      </c>
      <c r="S73" s="22"/>
      <c r="T73" s="20"/>
      <c r="AD73" s="31"/>
      <c r="AO73" s="9"/>
    </row>
    <row r="74" spans="2:41" ht="15.75" thickBot="1" x14ac:dyDescent="0.3">
      <c r="B74" s="34" t="s">
        <v>84</v>
      </c>
      <c r="C74" s="32" t="str">
        <f t="shared" si="5"/>
        <v>Dt_J46</v>
      </c>
      <c r="D74" s="26">
        <v>0.15409999999999999</v>
      </c>
      <c r="E74" s="32" t="str">
        <f t="shared" si="6"/>
        <v>Db_J46</v>
      </c>
      <c r="F74" s="26">
        <v>0.15409999999999999</v>
      </c>
      <c r="G74" s="32" t="str">
        <f t="shared" si="7"/>
        <v>A_J46</v>
      </c>
      <c r="H74" s="42">
        <v>90</v>
      </c>
      <c r="U74" s="21"/>
      <c r="Z74" s="43" t="s">
        <v>250</v>
      </c>
      <c r="AA74" s="43"/>
      <c r="AB74" s="43"/>
      <c r="AD74" s="31"/>
      <c r="AO74" s="9"/>
    </row>
    <row r="75" spans="2:41" ht="15.75" thickBot="1" x14ac:dyDescent="0.3">
      <c r="B75" s="34" t="s">
        <v>85</v>
      </c>
      <c r="C75" s="32" t="str">
        <f>"Dt_"&amp;B75</f>
        <v>Dt_J49</v>
      </c>
      <c r="D75" s="26">
        <v>0.15409999999999999</v>
      </c>
      <c r="E75" s="32" t="str">
        <f>"Db_"&amp;B75</f>
        <v>Db_J49</v>
      </c>
      <c r="F75" s="26">
        <v>0.15409999999999999</v>
      </c>
      <c r="G75" s="32" t="str">
        <f>"A_"&amp;B75</f>
        <v>A_J49</v>
      </c>
      <c r="H75" s="42">
        <v>90</v>
      </c>
      <c r="P75" s="1"/>
      <c r="V75" s="21"/>
      <c r="Z75" s="34" t="s">
        <v>108</v>
      </c>
      <c r="AA75" s="32" t="s">
        <v>180</v>
      </c>
      <c r="AB75" s="45">
        <f>_xll.SplineInterpolation(Q_36,B93:B103,C93:C103,Cd)</f>
        <v>11.397966384887695</v>
      </c>
      <c r="AC75" s="30" t="s">
        <v>71</v>
      </c>
      <c r="AD75" s="31" t="s">
        <v>257</v>
      </c>
    </row>
    <row r="76" spans="2:41" ht="15.75" thickBot="1" x14ac:dyDescent="0.3">
      <c r="B76" s="34" t="s">
        <v>86</v>
      </c>
      <c r="C76" s="32" t="str">
        <f t="shared" si="5"/>
        <v>Dt_J50</v>
      </c>
      <c r="D76" s="26">
        <v>0.15409999999999999</v>
      </c>
      <c r="E76" s="32" t="str">
        <f t="shared" si="6"/>
        <v>Db_J50</v>
      </c>
      <c r="F76" s="26">
        <v>0.15409999999999999</v>
      </c>
      <c r="G76" s="32" t="str">
        <f t="shared" si="7"/>
        <v>A_J50</v>
      </c>
      <c r="H76" s="42">
        <v>90</v>
      </c>
      <c r="S76" s="22"/>
      <c r="T76" s="20"/>
      <c r="Z76" s="43" t="s">
        <v>251</v>
      </c>
      <c r="AA76" s="43"/>
      <c r="AB76" s="43"/>
      <c r="AD76" s="31"/>
    </row>
    <row r="77" spans="2:41" ht="15.75" thickBot="1" x14ac:dyDescent="0.3">
      <c r="B77" s="34" t="s">
        <v>87</v>
      </c>
      <c r="C77" s="32" t="str">
        <f t="shared" si="5"/>
        <v>Dt_J52</v>
      </c>
      <c r="D77" s="26">
        <v>0.15409999999999999</v>
      </c>
      <c r="E77" s="32" t="str">
        <f t="shared" si="6"/>
        <v>Db_J52</v>
      </c>
      <c r="F77" s="26">
        <v>0.15409999999999999</v>
      </c>
      <c r="G77" s="32" t="str">
        <f t="shared" si="7"/>
        <v>A_J52</v>
      </c>
      <c r="H77" s="42">
        <v>90</v>
      </c>
      <c r="U77" s="21"/>
      <c r="Z77" s="34" t="s">
        <v>108</v>
      </c>
      <c r="AA77" s="32" t="s">
        <v>181</v>
      </c>
      <c r="AB77" s="45">
        <f>_xll.StaticPressure_H_Rho_g(H_Pp36,Rho)</f>
        <v>111575.359375</v>
      </c>
      <c r="AC77" s="30" t="s">
        <v>5</v>
      </c>
      <c r="AD77" s="31" t="s">
        <v>258</v>
      </c>
      <c r="AO77" s="9"/>
    </row>
    <row r="78" spans="2:41" ht="15.75" thickBot="1" x14ac:dyDescent="0.3">
      <c r="B78" s="34" t="s">
        <v>88</v>
      </c>
      <c r="C78" s="32" t="str">
        <f t="shared" si="5"/>
        <v>Dt_J53</v>
      </c>
      <c r="D78" s="26">
        <v>0.15409999999999999</v>
      </c>
      <c r="E78" s="32" t="str">
        <f t="shared" si="6"/>
        <v>Db_J53</v>
      </c>
      <c r="F78" s="26">
        <v>0.15409999999999999</v>
      </c>
      <c r="G78" s="32" t="str">
        <f t="shared" si="7"/>
        <v>A_J53</v>
      </c>
      <c r="H78" s="42">
        <v>90</v>
      </c>
      <c r="P78" s="1"/>
      <c r="V78" s="21"/>
      <c r="AO78" s="9"/>
    </row>
    <row r="79" spans="2:41" ht="15.75" thickBot="1" x14ac:dyDescent="0.3">
      <c r="B79" s="34" t="s">
        <v>89</v>
      </c>
      <c r="C79" s="32" t="str">
        <f t="shared" si="5"/>
        <v>Dt_J55</v>
      </c>
      <c r="D79" s="26">
        <v>0.15409999999999999</v>
      </c>
      <c r="E79" s="32" t="str">
        <f t="shared" si="6"/>
        <v>Db_J55</v>
      </c>
      <c r="F79" s="26">
        <v>0.15409999999999999</v>
      </c>
      <c r="G79" s="32" t="str">
        <f t="shared" si="7"/>
        <v>A_J55</v>
      </c>
      <c r="H79" s="42">
        <v>90</v>
      </c>
      <c r="S79" s="22"/>
      <c r="T79" s="20"/>
      <c r="AO79" s="9"/>
    </row>
    <row r="80" spans="2:41" ht="15.75" thickBot="1" x14ac:dyDescent="0.3">
      <c r="B80" s="34" t="s">
        <v>90</v>
      </c>
      <c r="C80" s="32" t="str">
        <f t="shared" si="5"/>
        <v>Dt_J56</v>
      </c>
      <c r="D80" s="26">
        <v>0.15409999999999999</v>
      </c>
      <c r="E80" s="32" t="str">
        <f t="shared" si="6"/>
        <v>Db_J56</v>
      </c>
      <c r="F80" s="26">
        <v>0.15409999999999999</v>
      </c>
      <c r="G80" s="32" t="str">
        <f t="shared" si="7"/>
        <v>A_J56</v>
      </c>
      <c r="H80" s="42">
        <v>90</v>
      </c>
      <c r="U80" s="21"/>
    </row>
    <row r="81" spans="2:40" x14ac:dyDescent="0.25">
      <c r="B81" s="5"/>
      <c r="C81" s="6"/>
      <c r="D81" s="7"/>
      <c r="E81" s="6"/>
      <c r="F81" s="7"/>
      <c r="G81" s="6"/>
      <c r="H81" s="13"/>
      <c r="P81" s="1"/>
      <c r="V81" s="21"/>
      <c r="AN81" s="10"/>
    </row>
    <row r="82" spans="2:40" x14ac:dyDescent="0.25">
      <c r="B82" s="25" t="s">
        <v>51</v>
      </c>
      <c r="S82" s="22"/>
      <c r="T82" s="20"/>
      <c r="AN82" s="10"/>
    </row>
    <row r="83" spans="2:40" ht="15.75" thickBot="1" x14ac:dyDescent="0.3">
      <c r="B83" s="34" t="s">
        <v>15</v>
      </c>
      <c r="C83" s="97" t="s">
        <v>119</v>
      </c>
      <c r="D83" s="97"/>
      <c r="E83" s="97" t="s">
        <v>57</v>
      </c>
      <c r="F83" s="97"/>
      <c r="U83" s="21"/>
      <c r="AN83" s="10"/>
    </row>
    <row r="84" spans="2:40" ht="15.75" thickBot="1" x14ac:dyDescent="0.3">
      <c r="B84" s="34" t="s">
        <v>52</v>
      </c>
      <c r="C84" s="32" t="str">
        <f t="shared" ref="C84:C88" si="8">"D_"&amp;B84</f>
        <v>D_HE11</v>
      </c>
      <c r="D84" s="26">
        <v>0.15409999999999999</v>
      </c>
      <c r="E84" s="32" t="str">
        <f t="shared" ref="E84:E88" si="9">"K_"&amp;B84</f>
        <v>K_HE11</v>
      </c>
      <c r="F84" s="26">
        <v>0.2</v>
      </c>
      <c r="P84" s="1"/>
      <c r="V84" s="21"/>
      <c r="AN84" s="10"/>
    </row>
    <row r="85" spans="2:40" ht="15.75" thickBot="1" x14ac:dyDescent="0.3">
      <c r="B85" s="34" t="s">
        <v>53</v>
      </c>
      <c r="C85" s="32" t="str">
        <f t="shared" si="8"/>
        <v>D_HE12</v>
      </c>
      <c r="D85" s="26">
        <v>0.15409999999999999</v>
      </c>
      <c r="E85" s="32" t="str">
        <f t="shared" si="9"/>
        <v>K_HE12</v>
      </c>
      <c r="F85" s="26">
        <v>0.2</v>
      </c>
      <c r="S85" s="22"/>
      <c r="T85" s="20"/>
      <c r="AN85" s="10"/>
    </row>
    <row r="86" spans="2:40" ht="15.75" thickBot="1" x14ac:dyDescent="0.3">
      <c r="B86" s="34" t="s">
        <v>54</v>
      </c>
      <c r="C86" s="32" t="str">
        <f t="shared" si="8"/>
        <v>D_HE20</v>
      </c>
      <c r="D86" s="26">
        <v>0.15409999999999999</v>
      </c>
      <c r="E86" s="32" t="str">
        <f t="shared" si="9"/>
        <v>K_HE20</v>
      </c>
      <c r="F86" s="26">
        <v>0.2</v>
      </c>
      <c r="U86" s="21"/>
      <c r="AN86" s="10"/>
    </row>
    <row r="87" spans="2:40" ht="15.75" thickBot="1" x14ac:dyDescent="0.3">
      <c r="B87" s="34" t="s">
        <v>55</v>
      </c>
      <c r="C87" s="32" t="str">
        <f t="shared" si="8"/>
        <v>D_HE21</v>
      </c>
      <c r="D87" s="26">
        <v>0.15409999999999999</v>
      </c>
      <c r="E87" s="32" t="str">
        <f t="shared" si="9"/>
        <v>K_HE21</v>
      </c>
      <c r="F87" s="26">
        <v>0.2</v>
      </c>
      <c r="P87" s="1"/>
      <c r="V87" s="21"/>
      <c r="AN87" s="10"/>
    </row>
    <row r="88" spans="2:40" ht="15.75" thickBot="1" x14ac:dyDescent="0.3">
      <c r="B88" s="34" t="s">
        <v>56</v>
      </c>
      <c r="C88" s="32" t="str">
        <f t="shared" si="8"/>
        <v>D_HE31</v>
      </c>
      <c r="D88" s="26">
        <v>0.15409999999999999</v>
      </c>
      <c r="E88" s="32" t="str">
        <f t="shared" si="9"/>
        <v>K_HE31</v>
      </c>
      <c r="F88" s="26">
        <v>0.2</v>
      </c>
      <c r="S88" s="22"/>
      <c r="T88" s="20"/>
      <c r="AN88" s="10"/>
    </row>
    <row r="89" spans="2:40" x14ac:dyDescent="0.25">
      <c r="U89" s="21"/>
      <c r="AN89" s="10"/>
    </row>
    <row r="90" spans="2:40" x14ac:dyDescent="0.25">
      <c r="B90" s="25" t="s">
        <v>64</v>
      </c>
      <c r="P90" s="1"/>
      <c r="V90" s="21"/>
      <c r="AN90" s="10"/>
    </row>
    <row r="91" spans="2:40" x14ac:dyDescent="0.25">
      <c r="B91" s="34" t="s">
        <v>18</v>
      </c>
      <c r="C91" s="34" t="s">
        <v>22</v>
      </c>
      <c r="S91" s="22"/>
      <c r="T91" s="20"/>
      <c r="AN91" s="10"/>
    </row>
    <row r="92" spans="2:40" ht="15.75" thickBot="1" x14ac:dyDescent="0.3">
      <c r="B92" s="36" t="s">
        <v>20</v>
      </c>
      <c r="C92" s="36" t="s">
        <v>23</v>
      </c>
      <c r="U92" s="21"/>
      <c r="AN92" s="10"/>
    </row>
    <row r="93" spans="2:40" ht="15.75" thickBot="1" x14ac:dyDescent="0.3">
      <c r="B93" s="37">
        <v>0</v>
      </c>
      <c r="C93" s="38">
        <v>15.7</v>
      </c>
      <c r="V93" s="21"/>
      <c r="AN93" s="10"/>
    </row>
    <row r="94" spans="2:40" ht="15.75" thickBot="1" x14ac:dyDescent="0.3">
      <c r="B94" s="41">
        <v>9.7216400000000001E-3</v>
      </c>
      <c r="C94" s="38">
        <v>16.352</v>
      </c>
      <c r="P94" s="12"/>
      <c r="AN94" s="10"/>
    </row>
    <row r="95" spans="2:40" ht="15.75" thickBot="1" x14ac:dyDescent="0.3">
      <c r="B95" s="40">
        <v>1.94439E-2</v>
      </c>
      <c r="C95" s="38">
        <v>16.576000000000001</v>
      </c>
      <c r="P95" s="12"/>
      <c r="AN95" s="10"/>
    </row>
    <row r="96" spans="2:40" ht="15.75" thickBot="1" x14ac:dyDescent="0.3">
      <c r="B96" s="40">
        <v>2.91662E-2</v>
      </c>
      <c r="C96" s="38">
        <v>16.128</v>
      </c>
      <c r="P96" s="12"/>
      <c r="AN96" s="10"/>
    </row>
    <row r="97" spans="2:40" ht="15.75" thickBot="1" x14ac:dyDescent="0.3">
      <c r="B97" s="40">
        <v>3.8888499999999999E-2</v>
      </c>
      <c r="C97" s="38">
        <v>15.231999999999999</v>
      </c>
      <c r="P97" s="12"/>
      <c r="AN97" s="10"/>
    </row>
    <row r="98" spans="2:40" ht="15.75" thickBot="1" x14ac:dyDescent="0.3">
      <c r="B98" s="40">
        <v>4.8610800000000003E-2</v>
      </c>
      <c r="C98" s="38">
        <v>14.112</v>
      </c>
      <c r="P98" s="12"/>
      <c r="AN98" s="10"/>
    </row>
    <row r="99" spans="2:40" ht="15.75" thickBot="1" x14ac:dyDescent="0.3">
      <c r="B99" s="40">
        <v>5.8333099999999999E-2</v>
      </c>
      <c r="C99" s="38">
        <v>12.544</v>
      </c>
      <c r="P99" s="12"/>
      <c r="AN99" s="10"/>
    </row>
    <row r="100" spans="2:40" ht="15.75" thickBot="1" x14ac:dyDescent="0.3">
      <c r="B100" s="40">
        <v>6.6111100000000006E-2</v>
      </c>
      <c r="C100" s="38">
        <v>11.2</v>
      </c>
      <c r="P100" s="12"/>
      <c r="AN100" s="10"/>
    </row>
    <row r="101" spans="2:40" ht="15.75" thickBot="1" x14ac:dyDescent="0.3">
      <c r="B101" s="40">
        <v>7.7777700000000005E-2</v>
      </c>
      <c r="C101" s="39">
        <v>8.9600000000000009</v>
      </c>
      <c r="P101" s="12"/>
      <c r="AN101" s="10"/>
    </row>
    <row r="102" spans="2:40" ht="15.75" thickBot="1" x14ac:dyDescent="0.3">
      <c r="B102" s="40">
        <v>8.8888800000000004E-2</v>
      </c>
      <c r="C102" s="39">
        <v>6.72</v>
      </c>
      <c r="P102" s="12"/>
    </row>
    <row r="103" spans="2:40" ht="15.75" thickBot="1" x14ac:dyDescent="0.3">
      <c r="B103" s="37">
        <v>0.12</v>
      </c>
      <c r="C103" s="39">
        <v>0</v>
      </c>
      <c r="P103" s="12"/>
      <c r="AN103" s="10"/>
    </row>
    <row r="104" spans="2:40" x14ac:dyDescent="0.25">
      <c r="P104" s="12"/>
      <c r="AN104" s="10"/>
    </row>
    <row r="105" spans="2:40" x14ac:dyDescent="0.25">
      <c r="P105" s="12"/>
      <c r="AN105" s="10"/>
    </row>
    <row r="106" spans="2:40" x14ac:dyDescent="0.25">
      <c r="B106" s="25" t="s">
        <v>63</v>
      </c>
      <c r="P106" s="12"/>
      <c r="AN106" s="10"/>
    </row>
    <row r="107" spans="2:40" x14ac:dyDescent="0.25">
      <c r="B107" s="34" t="s">
        <v>18</v>
      </c>
      <c r="C107" s="34" t="s">
        <v>19</v>
      </c>
      <c r="P107" s="12"/>
      <c r="AN107" s="10"/>
    </row>
    <row r="108" spans="2:40" ht="15.75" thickBot="1" x14ac:dyDescent="0.3">
      <c r="B108" s="36" t="s">
        <v>20</v>
      </c>
      <c r="C108" s="36" t="s">
        <v>21</v>
      </c>
      <c r="P108" s="12"/>
      <c r="AN108" s="10"/>
    </row>
    <row r="109" spans="2:40" ht="15.75" thickBot="1" x14ac:dyDescent="0.3">
      <c r="B109" s="37">
        <v>0</v>
      </c>
      <c r="C109" s="38">
        <f>_xll.PressureLoss_k_Qv_D_Rho(K_HE11,B109,D_HE11,Rho)</f>
        <v>0</v>
      </c>
      <c r="V109" s="21"/>
      <c r="AN109" s="10"/>
    </row>
    <row r="110" spans="2:40" ht="15.75" thickBot="1" x14ac:dyDescent="0.3">
      <c r="B110" s="37">
        <v>2.5000000000000001E-3</v>
      </c>
      <c r="C110" s="38">
        <f>_xll.PressureLoss_k_Qv_D_Rho(K_HE11,B110,D_HE11,Rho)</f>
        <v>1.7935352325439453</v>
      </c>
      <c r="S110" s="22"/>
      <c r="T110" s="20"/>
      <c r="AN110" s="10"/>
    </row>
    <row r="111" spans="2:40" ht="15.75" thickBot="1" x14ac:dyDescent="0.3">
      <c r="B111" s="37">
        <v>5.0000000000000001E-3</v>
      </c>
      <c r="C111" s="38">
        <f>_xll.PressureLoss_k_Qv_D_Rho(K_HE11,B111,D_HE11,Rho)</f>
        <v>7.1741409301757813</v>
      </c>
      <c r="U111" s="21"/>
      <c r="AN111" s="10"/>
    </row>
    <row r="112" spans="2:40" ht="15.75" thickBot="1" x14ac:dyDescent="0.3">
      <c r="B112" s="37">
        <v>7.4999999999999997E-3</v>
      </c>
      <c r="C112" s="38">
        <f>_xll.PressureLoss_k_Qv_D_Rho(K_HE11,B112,D_HE11,Rho)</f>
        <v>16.141817092895508</v>
      </c>
      <c r="P112" s="1"/>
      <c r="V112" s="21"/>
      <c r="AN112" s="10"/>
    </row>
    <row r="113" spans="2:40" ht="15.75" thickBot="1" x14ac:dyDescent="0.3">
      <c r="B113" s="37">
        <v>0.01</v>
      </c>
      <c r="C113" s="38">
        <f>_xll.PressureLoss_k_Qv_D_Rho(K_HE11,B113,D_HE11,Rho)</f>
        <v>28.696563720703125</v>
      </c>
      <c r="S113" s="22"/>
      <c r="T113" s="20"/>
      <c r="AN113" s="10"/>
    </row>
    <row r="114" spans="2:40" ht="15.75" thickBot="1" x14ac:dyDescent="0.3">
      <c r="B114" s="37">
        <v>1.2500000000000001E-2</v>
      </c>
      <c r="C114" s="38">
        <f>_xll.PressureLoss_k_Qv_D_Rho(K_HE11,B114,D_HE11,Rho)</f>
        <v>44.838382720947266</v>
      </c>
      <c r="U114" s="21"/>
      <c r="AN114" s="10"/>
    </row>
    <row r="115" spans="2:40" ht="15.75" thickBot="1" x14ac:dyDescent="0.3">
      <c r="B115" s="37">
        <v>1.4999999999999999E-2</v>
      </c>
      <c r="C115" s="38">
        <f>_xll.PressureLoss_k_Qv_D_Rho(K_HE11,B115,D_HE11,Rho)</f>
        <v>64.567268371582031</v>
      </c>
      <c r="V115" s="21"/>
      <c r="AN115" s="10"/>
    </row>
    <row r="116" spans="2:40" ht="15.75" thickBot="1" x14ac:dyDescent="0.3">
      <c r="B116" s="37">
        <v>1.7500000000000002E-2</v>
      </c>
      <c r="C116" s="38">
        <f>_xll.PressureLoss_k_Qv_D_Rho(K_HE11,B116,D_HE11,Rho)</f>
        <v>87.883232116699219</v>
      </c>
      <c r="S116" s="22"/>
      <c r="T116" s="20"/>
      <c r="AN116" s="10"/>
    </row>
    <row r="117" spans="2:40" ht="15.75" thickBot="1" x14ac:dyDescent="0.3">
      <c r="B117" s="37">
        <v>0.02</v>
      </c>
      <c r="C117" s="38">
        <f>_xll.PressureLoss_k_Qv_D_Rho(K_HE11,B117,D_HE11,Rho)</f>
        <v>114.7862548828125</v>
      </c>
      <c r="U117" s="21"/>
      <c r="AN117" s="10"/>
    </row>
    <row r="118" spans="2:40" ht="15.75" thickBot="1" x14ac:dyDescent="0.3">
      <c r="B118" s="37">
        <v>2.2499999999999999E-2</v>
      </c>
      <c r="C118" s="38">
        <f>_xll.PressureLoss_k_Qv_D_Rho(K_HE11,B118,D_HE11,Rho)</f>
        <v>145.2763671875</v>
      </c>
      <c r="V118" s="21"/>
      <c r="AN118" s="10"/>
    </row>
    <row r="119" spans="2:40" ht="15.75" thickBot="1" x14ac:dyDescent="0.3">
      <c r="B119" s="37">
        <v>2.5000000000000001E-2</v>
      </c>
      <c r="C119" s="38">
        <f>_xll.PressureLoss_k_Qv_D_Rho(K_HE11,B119,D_HE11,Rho)</f>
        <v>179.35353088378906</v>
      </c>
      <c r="T119" s="20"/>
      <c r="AN119" s="10"/>
    </row>
    <row r="120" spans="2:40" x14ac:dyDescent="0.25">
      <c r="P120" s="12"/>
    </row>
    <row r="121" spans="2:40" x14ac:dyDescent="0.25">
      <c r="P121" s="12"/>
    </row>
    <row r="122" spans="2:40" x14ac:dyDescent="0.25">
      <c r="P122" s="12"/>
    </row>
    <row r="123" spans="2:40" x14ac:dyDescent="0.25">
      <c r="P123" s="12"/>
    </row>
    <row r="124" spans="2:40" x14ac:dyDescent="0.25">
      <c r="P124" s="12"/>
    </row>
    <row r="135" spans="16:40" x14ac:dyDescent="0.25">
      <c r="AN135" s="10"/>
    </row>
    <row r="136" spans="16:40" x14ac:dyDescent="0.25">
      <c r="AN136" s="10"/>
    </row>
    <row r="140" spans="16:40" x14ac:dyDescent="0.25">
      <c r="P140" s="12"/>
    </row>
    <row r="141" spans="16:40" x14ac:dyDescent="0.25">
      <c r="P141" s="12"/>
    </row>
    <row r="142" spans="16:40" x14ac:dyDescent="0.25">
      <c r="P142" s="12"/>
    </row>
    <row r="143" spans="16:40" x14ac:dyDescent="0.25">
      <c r="P143" s="12"/>
    </row>
    <row r="144" spans="16:40" x14ac:dyDescent="0.25">
      <c r="P144" s="12"/>
    </row>
    <row r="145" spans="16:16" x14ac:dyDescent="0.25">
      <c r="P145" s="12"/>
    </row>
    <row r="146" spans="16:16" x14ac:dyDescent="0.25">
      <c r="P146" s="12"/>
    </row>
    <row r="147" spans="16:16" x14ac:dyDescent="0.25">
      <c r="P147" s="12"/>
    </row>
    <row r="148" spans="16:16" x14ac:dyDescent="0.25">
      <c r="P148" s="12"/>
    </row>
    <row r="149" spans="16:16" x14ac:dyDescent="0.25">
      <c r="P149" s="12"/>
    </row>
    <row r="150" spans="16:16" x14ac:dyDescent="0.25">
      <c r="P150" s="12"/>
    </row>
    <row r="151" spans="16:16" x14ac:dyDescent="0.25">
      <c r="P151" s="12"/>
    </row>
    <row r="152" spans="16:16" x14ac:dyDescent="0.25">
      <c r="P152" s="12"/>
    </row>
  </sheetData>
  <scenarios current="0">
    <scenario name="test1" count="4" user="François Corre" comment="Créé par François Corre le 1/12/2021">
      <inputCells r="Q8" val="0.00995492852133569" numFmtId="166"/>
      <inputCells r="Q11" val="0.0100427978746876" numFmtId="166"/>
      <inputCells r="Q12" val="9.00314998563354" numFmtId="169"/>
      <inputCells r="Q13" val="8.99669451440173" numFmtId="169"/>
    </scenario>
  </scenarios>
  <mergeCells count="9">
    <mergeCell ref="C35:D35"/>
    <mergeCell ref="E35:F35"/>
    <mergeCell ref="G35:H35"/>
    <mergeCell ref="C62:D62"/>
    <mergeCell ref="C83:D83"/>
    <mergeCell ref="E83:F83"/>
    <mergeCell ref="C70:D70"/>
    <mergeCell ref="E70:F70"/>
    <mergeCell ref="G70:H70"/>
  </mergeCells>
  <phoneticPr fontId="7" type="noConversion"/>
  <hyperlinks>
    <hyperlink ref="B5" r:id="rId1" xr:uid="{4E2738E4-1E8C-423D-83F5-729D0FC6F99D}"/>
  </hyperlinks>
  <pageMargins left="0.7" right="0.7" top="0.75" bottom="0.75" header="0.3" footer="0.3"/>
  <pageSetup paperSize="9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versions xmlns="http://schemas.microsoft.com/SolverFoundationForExcel/Version">
  <addinversion>3.1</addinversion>
</versions>
</file>

<file path=customXml/itemProps1.xml><?xml version="1.0" encoding="utf-8"?>
<ds:datastoreItem xmlns:ds="http://schemas.openxmlformats.org/officeDocument/2006/customXml" ds:itemID="{2DCC24FD-5E89-4247-8632-4EFC63FCB705}">
  <ds:schemaRefs>
    <ds:schemaRef ds:uri="http://schemas.microsoft.com/SolverFoundationForExcel/Vers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217</vt:i4>
      </vt:variant>
    </vt:vector>
  </HeadingPairs>
  <TitlesOfParts>
    <vt:vector size="219" baseType="lpstr">
      <vt:lpstr>Readme</vt:lpstr>
      <vt:lpstr>System</vt:lpstr>
      <vt:lpstr>A_J14</vt:lpstr>
      <vt:lpstr>A_J41</vt:lpstr>
      <vt:lpstr>A_J43</vt:lpstr>
      <vt:lpstr>A_J46</vt:lpstr>
      <vt:lpstr>A_J49</vt:lpstr>
      <vt:lpstr>A_J50</vt:lpstr>
      <vt:lpstr>A_J52</vt:lpstr>
      <vt:lpstr>A_J53</vt:lpstr>
      <vt:lpstr>A_J55</vt:lpstr>
      <vt:lpstr>A_J56</vt:lpstr>
      <vt:lpstr>Cd</vt:lpstr>
      <vt:lpstr>D_HE11</vt:lpstr>
      <vt:lpstr>D_HE12</vt:lpstr>
      <vt:lpstr>D_HE20</vt:lpstr>
      <vt:lpstr>D_HE21</vt:lpstr>
      <vt:lpstr>D_HE31</vt:lpstr>
      <vt:lpstr>D_P10</vt:lpstr>
      <vt:lpstr>D_P13</vt:lpstr>
      <vt:lpstr>D_P15</vt:lpstr>
      <vt:lpstr>D_P16</vt:lpstr>
      <vt:lpstr>D_P17</vt:lpstr>
      <vt:lpstr>D_P18</vt:lpstr>
      <vt:lpstr>D_P19</vt:lpstr>
      <vt:lpstr>D_P22</vt:lpstr>
      <vt:lpstr>D_P25</vt:lpstr>
      <vt:lpstr>D_P26</vt:lpstr>
      <vt:lpstr>D_P27</vt:lpstr>
      <vt:lpstr>D_P28</vt:lpstr>
      <vt:lpstr>D_P29</vt:lpstr>
      <vt:lpstr>D_P30</vt:lpstr>
      <vt:lpstr>D_P32</vt:lpstr>
      <vt:lpstr>D_P33</vt:lpstr>
      <vt:lpstr>D_P34</vt:lpstr>
      <vt:lpstr>D_P35</vt:lpstr>
      <vt:lpstr>D_P42</vt:lpstr>
      <vt:lpstr>D_P48</vt:lpstr>
      <vt:lpstr>D_P51</vt:lpstr>
      <vt:lpstr>D_P7</vt:lpstr>
      <vt:lpstr>D_P8</vt:lpstr>
      <vt:lpstr>D_P9</vt:lpstr>
      <vt:lpstr>Db_J14</vt:lpstr>
      <vt:lpstr>Db_J41</vt:lpstr>
      <vt:lpstr>Db_J43</vt:lpstr>
      <vt:lpstr>Db_J46</vt:lpstr>
      <vt:lpstr>Db_J49</vt:lpstr>
      <vt:lpstr>Db_J50</vt:lpstr>
      <vt:lpstr>Db_J52</vt:lpstr>
      <vt:lpstr>Db_J53</vt:lpstr>
      <vt:lpstr>Db_J55</vt:lpstr>
      <vt:lpstr>Db_J56</vt:lpstr>
      <vt:lpstr>Do_OP44</vt:lpstr>
      <vt:lpstr>Do_OP45</vt:lpstr>
      <vt:lpstr>Do_OP47</vt:lpstr>
      <vt:lpstr>Do_OP5</vt:lpstr>
      <vt:lpstr>Do_OP6</vt:lpstr>
      <vt:lpstr>dP_HE11</vt:lpstr>
      <vt:lpstr>dP_HE12</vt:lpstr>
      <vt:lpstr>dP_HE20</vt:lpstr>
      <vt:lpstr>dP_HE21</vt:lpstr>
      <vt:lpstr>dP_HE31</vt:lpstr>
      <vt:lpstr>dP_OP44</vt:lpstr>
      <vt:lpstr>dP_OP45</vt:lpstr>
      <vt:lpstr>dP_OP47</vt:lpstr>
      <vt:lpstr>dP_OP5</vt:lpstr>
      <vt:lpstr>dP_OP6</vt:lpstr>
      <vt:lpstr>dP_P10</vt:lpstr>
      <vt:lpstr>dP_P13</vt:lpstr>
      <vt:lpstr>dP_P15</vt:lpstr>
      <vt:lpstr>dP_P16</vt:lpstr>
      <vt:lpstr>dP_P17</vt:lpstr>
      <vt:lpstr>dP_P18</vt:lpstr>
      <vt:lpstr>dP_P19</vt:lpstr>
      <vt:lpstr>dP_P22</vt:lpstr>
      <vt:lpstr>dP_P25</vt:lpstr>
      <vt:lpstr>dP_P26</vt:lpstr>
      <vt:lpstr>dP_P27</vt:lpstr>
      <vt:lpstr>dP_P28</vt:lpstr>
      <vt:lpstr>dP_P29</vt:lpstr>
      <vt:lpstr>dP_P30</vt:lpstr>
      <vt:lpstr>dP_P32</vt:lpstr>
      <vt:lpstr>dP_P33</vt:lpstr>
      <vt:lpstr>dP_P34</vt:lpstr>
      <vt:lpstr>dP_P35</vt:lpstr>
      <vt:lpstr>dP_P42</vt:lpstr>
      <vt:lpstr>dP_P48</vt:lpstr>
      <vt:lpstr>dP_P51</vt:lpstr>
      <vt:lpstr>dP_P7</vt:lpstr>
      <vt:lpstr>dP_P8</vt:lpstr>
      <vt:lpstr>dP_P9</vt:lpstr>
      <vt:lpstr>dPb_J41</vt:lpstr>
      <vt:lpstr>dPb_J46</vt:lpstr>
      <vt:lpstr>dPb_J50</vt:lpstr>
      <vt:lpstr>dPb_J52</vt:lpstr>
      <vt:lpstr>dPb_J53</vt:lpstr>
      <vt:lpstr>dPb_J55</vt:lpstr>
      <vt:lpstr>dPb_J56</vt:lpstr>
      <vt:lpstr>Dpi_OP44</vt:lpstr>
      <vt:lpstr>Dpi_OP45</vt:lpstr>
      <vt:lpstr>Dpi_OP47</vt:lpstr>
      <vt:lpstr>Dpi_OP5</vt:lpstr>
      <vt:lpstr>Dpi_OP6</vt:lpstr>
      <vt:lpstr>dPl_J14</vt:lpstr>
      <vt:lpstr>dPl_J43</vt:lpstr>
      <vt:lpstr>dPl_J49</vt:lpstr>
      <vt:lpstr>dPr_J14</vt:lpstr>
      <vt:lpstr>dPr_J43</vt:lpstr>
      <vt:lpstr>dPr_J49</vt:lpstr>
      <vt:lpstr>dPt_J41</vt:lpstr>
      <vt:lpstr>dPt_J46</vt:lpstr>
      <vt:lpstr>dPt_J50</vt:lpstr>
      <vt:lpstr>dPt_J52</vt:lpstr>
      <vt:lpstr>dPt_J53</vt:lpstr>
      <vt:lpstr>dPt_J55</vt:lpstr>
      <vt:lpstr>dPt_J56</vt:lpstr>
      <vt:lpstr>Dt_J14</vt:lpstr>
      <vt:lpstr>Dt_J41</vt:lpstr>
      <vt:lpstr>Dt_J43</vt:lpstr>
      <vt:lpstr>Dt_J46</vt:lpstr>
      <vt:lpstr>Dt_J49</vt:lpstr>
      <vt:lpstr>Dt_J50</vt:lpstr>
      <vt:lpstr>Dt_J52</vt:lpstr>
      <vt:lpstr>Dt_J53</vt:lpstr>
      <vt:lpstr>Dt_J55</vt:lpstr>
      <vt:lpstr>Dt_J56</vt:lpstr>
      <vt:lpstr>e_P10</vt:lpstr>
      <vt:lpstr>e_P13</vt:lpstr>
      <vt:lpstr>e_P15</vt:lpstr>
      <vt:lpstr>e_P16</vt:lpstr>
      <vt:lpstr>e_P17</vt:lpstr>
      <vt:lpstr>e_P18</vt:lpstr>
      <vt:lpstr>e_P19</vt:lpstr>
      <vt:lpstr>e_P22</vt:lpstr>
      <vt:lpstr>e_P25</vt:lpstr>
      <vt:lpstr>e_P26</vt:lpstr>
      <vt:lpstr>e_P27</vt:lpstr>
      <vt:lpstr>e_P28</vt:lpstr>
      <vt:lpstr>e_P29</vt:lpstr>
      <vt:lpstr>e_P30</vt:lpstr>
      <vt:lpstr>e_P32</vt:lpstr>
      <vt:lpstr>e_P33</vt:lpstr>
      <vt:lpstr>e_P34</vt:lpstr>
      <vt:lpstr>e_P35</vt:lpstr>
      <vt:lpstr>e_P42</vt:lpstr>
      <vt:lpstr>e_P48</vt:lpstr>
      <vt:lpstr>e_P51</vt:lpstr>
      <vt:lpstr>e_P7</vt:lpstr>
      <vt:lpstr>e_P8</vt:lpstr>
      <vt:lpstr>e_P9</vt:lpstr>
      <vt:lpstr>H_Pp36</vt:lpstr>
      <vt:lpstr>K_HE11</vt:lpstr>
      <vt:lpstr>K_HE12</vt:lpstr>
      <vt:lpstr>K_HE20</vt:lpstr>
      <vt:lpstr>K_HE21</vt:lpstr>
      <vt:lpstr>K_HE31</vt:lpstr>
      <vt:lpstr>L_P10</vt:lpstr>
      <vt:lpstr>L_P13</vt:lpstr>
      <vt:lpstr>L_P15</vt:lpstr>
      <vt:lpstr>L_P16</vt:lpstr>
      <vt:lpstr>L_P17</vt:lpstr>
      <vt:lpstr>L_P18</vt:lpstr>
      <vt:lpstr>L_P19</vt:lpstr>
      <vt:lpstr>L_P22</vt:lpstr>
      <vt:lpstr>L_P25</vt:lpstr>
      <vt:lpstr>L_P26</vt:lpstr>
      <vt:lpstr>L_P27</vt:lpstr>
      <vt:lpstr>L_P28</vt:lpstr>
      <vt:lpstr>L_P29</vt:lpstr>
      <vt:lpstr>L_P30</vt:lpstr>
      <vt:lpstr>L_P32</vt:lpstr>
      <vt:lpstr>L_P33</vt:lpstr>
      <vt:lpstr>L_P34</vt:lpstr>
      <vt:lpstr>L_P35</vt:lpstr>
      <vt:lpstr>L_P42</vt:lpstr>
      <vt:lpstr>L_P48</vt:lpstr>
      <vt:lpstr>L_P51</vt:lpstr>
      <vt:lpstr>L_P7</vt:lpstr>
      <vt:lpstr>L_P8</vt:lpstr>
      <vt:lpstr>L_P9</vt:lpstr>
      <vt:lpstr>Nu</vt:lpstr>
      <vt:lpstr>P_n12</vt:lpstr>
      <vt:lpstr>P_n22</vt:lpstr>
      <vt:lpstr>P_n23_n58</vt:lpstr>
      <vt:lpstr>P_n23_n59</vt:lpstr>
      <vt:lpstr>P_n24</vt:lpstr>
      <vt:lpstr>P_n27</vt:lpstr>
      <vt:lpstr>P_n30_n1</vt:lpstr>
      <vt:lpstr>P_n30_R37</vt:lpstr>
      <vt:lpstr>P_n31</vt:lpstr>
      <vt:lpstr>P_n34</vt:lpstr>
      <vt:lpstr>P_n43_n38</vt:lpstr>
      <vt:lpstr>P_n43_n39</vt:lpstr>
      <vt:lpstr>P_n51_n47</vt:lpstr>
      <vt:lpstr>P_n51_n48</vt:lpstr>
      <vt:lpstr>P_n53_n29</vt:lpstr>
      <vt:lpstr>P_n53_n55</vt:lpstr>
      <vt:lpstr>P_n54_n28</vt:lpstr>
      <vt:lpstr>P_n54_n50</vt:lpstr>
      <vt:lpstr>P_Pp36</vt:lpstr>
      <vt:lpstr>Q_11</vt:lpstr>
      <vt:lpstr>Q_12</vt:lpstr>
      <vt:lpstr>Q_19</vt:lpstr>
      <vt:lpstr>Q_20</vt:lpstr>
      <vt:lpstr>Q_21</vt:lpstr>
      <vt:lpstr>Q_26</vt:lpstr>
      <vt:lpstr>Q_27</vt:lpstr>
      <vt:lpstr>Q_28</vt:lpstr>
      <vt:lpstr>Q_29</vt:lpstr>
      <vt:lpstr>Q_31</vt:lpstr>
      <vt:lpstr>Q_33</vt:lpstr>
      <vt:lpstr>Q_34</vt:lpstr>
      <vt:lpstr>Q_35</vt:lpstr>
      <vt:lpstr>Q_36</vt:lpstr>
      <vt:lpstr>Q_42</vt:lpstr>
      <vt:lpstr>Rblar</vt:lpstr>
      <vt:lpstr>Rho</vt:lpstr>
      <vt:lpstr>Rllab</vt:lpstr>
      <vt:lpstr>Rsp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François Corre</dc:creator>
  <cp:lastModifiedBy>François Corre</cp:lastModifiedBy>
  <dcterms:created xsi:type="dcterms:W3CDTF">2015-06-05T18:19:34Z</dcterms:created>
  <dcterms:modified xsi:type="dcterms:W3CDTF">2022-05-12T12:46:56Z</dcterms:modified>
</cp:coreProperties>
</file>